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codeName="ThisWorkbook" defaultThemeVersion="124226"/>
  <xr:revisionPtr revIDLastSave="0" documentId="8_{82BA1D7C-17BC-44B7-8807-C8328B1C6475}" xr6:coauthVersionLast="47" xr6:coauthVersionMax="47" xr10:uidLastSave="{00000000-0000-0000-0000-000000000000}"/>
  <bookViews>
    <workbookView xWindow="-120" yWindow="-120" windowWidth="29040" windowHeight="15840" tabRatio="938"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 B-3-A Remeas Suprt" sheetId="43"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state="hidden" r:id="rId16"/>
    <sheet name="WS K TRUE-UP RTEP RR" sheetId="13"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Interest(2)" sheetId="41" r:id="rId25"/>
  </sheets>
  <externalReferences>
    <externalReference r:id="rId26"/>
    <externalReference r:id="rId27"/>
    <externalReference r:id="rId28"/>
    <externalReference r:id="rId29"/>
    <externalReference r:id="rId30"/>
    <externalReference r:id="rId31"/>
    <externalReference r:id="rId32"/>
  </externalReference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 localSheetId="6">#REF!</definedName>
    <definedName name="ActKWHExcess">#REF!</definedName>
    <definedName name="ActKWHNotUsed" localSheetId="6">#REF!</definedName>
    <definedName name="ActKWHNotUsed">#REF!</definedName>
    <definedName name="ActKWHRes" localSheetId="6">#REF!</definedName>
    <definedName name="ActKWHRes">#REF!</definedName>
    <definedName name="ActKWHSubTot" localSheetId="6">#REF!</definedName>
    <definedName name="ActKWHSubTot">#REF!</definedName>
    <definedName name="ActKWHTot" localSheetId="6">#REF!</definedName>
    <definedName name="ActKWHTot">#REF!</definedName>
    <definedName name="ActNotUsedAmt" localSheetId="6">#REF!</definedName>
    <definedName name="ActNotUsedAmt">#REF!</definedName>
    <definedName name="ActResAmt" localSheetId="6">#REF!</definedName>
    <definedName name="ActResAmt">#REF!</definedName>
    <definedName name="ActSubTotAmt" localSheetId="6">#REF!</definedName>
    <definedName name="ActSubTotAmt">#REF!</definedName>
    <definedName name="ActTotAmt" localSheetId="6">#REF!</definedName>
    <definedName name="ActTotAmt">#REF!</definedName>
    <definedName name="AdminChg" localSheetId="6">#REF!</definedName>
    <definedName name="AdminChg">#REF!</definedName>
    <definedName name="AEP" localSheetId="6">#REF!</definedName>
    <definedName name="AEP">#REF!</definedName>
    <definedName name="allocator" localSheetId="6">#REF!</definedName>
    <definedName name="allocator">#REF!</definedName>
    <definedName name="allocators" localSheetId="6">#REF!</definedName>
    <definedName name="allocators">#REF!</definedName>
    <definedName name="allocatorsSWP" localSheetId="6">#REF!</definedName>
    <definedName name="allocatorsSWP">#REF!</definedName>
    <definedName name="allocatorSWP1">'[1]SWP TCOS 2008 13 Month'!$I$317:$J$328</definedName>
    <definedName name="APCO" localSheetId="6">#REF!</definedName>
    <definedName name="APCO">#REF!</definedName>
    <definedName name="APCo_Hist_Allocators" localSheetId="20">[2]TCOS!#REF!</definedName>
    <definedName name="APCo_Hist_Allocators" localSheetId="1">[3]TCOS!#REF!</definedName>
    <definedName name="APCo_Hist_Allocators" localSheetId="6">[4]TCOS!#REF!</definedName>
    <definedName name="APCo_Hist_Allocators" localSheetId="13">#REF!</definedName>
    <definedName name="APCo_Hist_Allocators" localSheetId="18">[5]TCOS!#REF!</definedName>
    <definedName name="APCo_Hist_Allocators">TCOS!#REF!</definedName>
    <definedName name="APCo_Proj_Allocators" localSheetId="6">#REF!</definedName>
    <definedName name="APCo_Proj_Allocators" localSheetId="13">#REF!</definedName>
    <definedName name="APCo_Proj_Allocators">#REF!</definedName>
    <definedName name="APCo_TU_Allocators" localSheetId="6">#REF!</definedName>
    <definedName name="APCo_TU_Allocators" localSheetId="13">#REF!</definedName>
    <definedName name="APCo_TU_Allocators">#REF!</definedName>
    <definedName name="AVRGPWRFCTR" localSheetId="6">#REF!</definedName>
    <definedName name="AVRGPWRFCTR">#REF!</definedName>
    <definedName name="B1HRSCRMO" localSheetId="6">#REF!</definedName>
    <definedName name="B1HRSCRMO">#REF!</definedName>
    <definedName name="B2HRSCRMO" localSheetId="6">#REF!</definedName>
    <definedName name="B2HRSCRMO">#REF!</definedName>
    <definedName name="BASERATECHG" localSheetId="6">#REF!</definedName>
    <definedName name="BASERATECHG">#REF!</definedName>
    <definedName name="BILLKWH" localSheetId="6">#REF!</definedName>
    <definedName name="BILLKWH">#REF!</definedName>
    <definedName name="BIRPCCHG" localSheetId="6">#REF!</definedName>
    <definedName name="BIRPCCHG">#REF!</definedName>
    <definedName name="BIRPDCHG1" localSheetId="6">#REF!</definedName>
    <definedName name="BIRPDCHG1">#REF!</definedName>
    <definedName name="BIRPDCHG2" localSheetId="6">#REF!</definedName>
    <definedName name="BIRPDCHG2">#REF!</definedName>
    <definedName name="BIRPECHG1" localSheetId="6">#REF!</definedName>
    <definedName name="BIRPECHG1">#REF!</definedName>
    <definedName name="BIRPECHGB1" localSheetId="6">#REF!</definedName>
    <definedName name="BIRPECHGB1">#REF!</definedName>
    <definedName name="BIRPECHGB2" localSheetId="6">#REF!</definedName>
    <definedName name="BIRPECHGB2">#REF!</definedName>
    <definedName name="BIRPECHGB3" localSheetId="6">#REF!</definedName>
    <definedName name="BIRPECHGB3">#REF!</definedName>
    <definedName name="BIRPECHGW" localSheetId="6">#REF!</definedName>
    <definedName name="BIRPECHGW">#REF!</definedName>
    <definedName name="BIRPKWH1" localSheetId="6">#REF!</definedName>
    <definedName name="BIRPKWH1">#REF!</definedName>
    <definedName name="BIRPKWHB1" localSheetId="6">#REF!</definedName>
    <definedName name="BIRPKWHB1">#REF!</definedName>
    <definedName name="BIRPKWHB2" localSheetId="6">#REF!</definedName>
    <definedName name="BIRPKWHB2">#REF!</definedName>
    <definedName name="BIRPKWHB3" localSheetId="6">#REF!</definedName>
    <definedName name="BIRPKWHB3">#REF!</definedName>
    <definedName name="BIRPKWHWH" localSheetId="6">#REF!</definedName>
    <definedName name="BIRPKWHWH">#REF!</definedName>
    <definedName name="BIRPMECHG1" localSheetId="6">#REF!</definedName>
    <definedName name="BIRPMECHG1">#REF!</definedName>
    <definedName name="BIRPOFKWH" localSheetId="6">#REF!</definedName>
    <definedName name="BIRPOFKWH">#REF!</definedName>
    <definedName name="BIRPOPKWH" localSheetId="6">#REF!</definedName>
    <definedName name="BIRPOPKWH">#REF!</definedName>
    <definedName name="BIRPP1EC" localSheetId="6">#REF!</definedName>
    <definedName name="BIRPP1EC">#REF!</definedName>
    <definedName name="BIRPP2EC" localSheetId="6">#REF!</definedName>
    <definedName name="BIRPP2EC">#REF!</definedName>
    <definedName name="BIRPP3EC" localSheetId="6">#REF!</definedName>
    <definedName name="BIRPP3EC">#REF!</definedName>
    <definedName name="BIRPP4EC" localSheetId="6">#REF!</definedName>
    <definedName name="BIRPP4EC">#REF!</definedName>
    <definedName name="BIRPP5EC" localSheetId="6">#REF!</definedName>
    <definedName name="BIRPP5EC">#REF!</definedName>
    <definedName name="BIRPPDMDCHG" localSheetId="6">#REF!</definedName>
    <definedName name="BIRPPDMDCHG">#REF!</definedName>
    <definedName name="BIRPRCHG" localSheetId="6">#REF!</definedName>
    <definedName name="BIRPRCHG">#REF!</definedName>
    <definedName name="BIRPXKVA" localSheetId="6">#REF!</definedName>
    <definedName name="BIRPXKVA">#REF!</definedName>
    <definedName name="BIRPXKVAPCT" localSheetId="6">#REF!</definedName>
    <definedName name="BIRPXKVAPCT">#REF!</definedName>
    <definedName name="BIRPXOFKW" localSheetId="6">#REF!</definedName>
    <definedName name="BIRPXOFKW">#REF!</definedName>
    <definedName name="BKUPKWH" localSheetId="6">#REF!</definedName>
    <definedName name="BKUPKWH">#REF!</definedName>
    <definedName name="BLDAMNT" localSheetId="6">#REF!</definedName>
    <definedName name="BLDAMNT">#REF!</definedName>
    <definedName name="BLDDMND" localSheetId="6">#REF!</definedName>
    <definedName name="BLDDMND">#REF!</definedName>
    <definedName name="BLDKWH" localSheetId="6">#REF!</definedName>
    <definedName name="BLDKWH">#REF!</definedName>
    <definedName name="BLDOPDMND" localSheetId="6">#REF!</definedName>
    <definedName name="BLDOPDMND">#REF!</definedName>
    <definedName name="BLNGKWB4EDR" localSheetId="6">#REF!</definedName>
    <definedName name="BLNGKWB4EDR">#REF!</definedName>
    <definedName name="BLNGKWH" localSheetId="6">#REF!</definedName>
    <definedName name="BLNGKWH">#REF!</definedName>
    <definedName name="BLNGKWHTTL" localSheetId="6">#REF!</definedName>
    <definedName name="BLNGKWHTTL">#REF!</definedName>
    <definedName name="BndBlkKwh1" localSheetId="6">#REF!</definedName>
    <definedName name="BndBlkKwh1">#REF!</definedName>
    <definedName name="BndBlkKwh2" localSheetId="6">#REF!</definedName>
    <definedName name="BndBlkKwh2">#REF!</definedName>
    <definedName name="BndBlkKwh3" localSheetId="6">#REF!</definedName>
    <definedName name="BndBlkKwh3">#REF!</definedName>
    <definedName name="BndBlkKwhChg1" localSheetId="6">#REF!</definedName>
    <definedName name="BndBlkKwhChg1">#REF!</definedName>
    <definedName name="BndBlkKwhChg2" localSheetId="6">#REF!</definedName>
    <definedName name="BndBlkKwhChg2">#REF!</definedName>
    <definedName name="BndBlkKwhChg3" localSheetId="6">#REF!</definedName>
    <definedName name="BndBlkKwhChg3">#REF!</definedName>
    <definedName name="BndBlkKwhChgT" localSheetId="6">#REF!</definedName>
    <definedName name="BndBlkKwhChgT">#REF!</definedName>
    <definedName name="BndBlkKwhChgW" localSheetId="6">#REF!</definedName>
    <definedName name="BndBlkKwhChgW">#REF!</definedName>
    <definedName name="BndBlkKwhT" localSheetId="6">#REF!</definedName>
    <definedName name="BndBlkKwhT">#REF!</definedName>
    <definedName name="BndBlkKwhW" localSheetId="6">#REF!</definedName>
    <definedName name="BndBlkKwhW">#REF!</definedName>
    <definedName name="BndCustChg" localSheetId="6">#REF!</definedName>
    <definedName name="BndCustChg">#REF!</definedName>
    <definedName name="BndDmdChg1" localSheetId="6">#REF!</definedName>
    <definedName name="BndDmdChg1">#REF!</definedName>
    <definedName name="BndDmdChg2" localSheetId="6">#REF!</definedName>
    <definedName name="BndDmdChg2">#REF!</definedName>
    <definedName name="BndExcsKvaPct" localSheetId="6">#REF!</definedName>
    <definedName name="BndExcsKvaPct">#REF!</definedName>
    <definedName name="BndMEChg" localSheetId="6">#REF!</definedName>
    <definedName name="BndMEChg">#REF!</definedName>
    <definedName name="BndOffPkKwh" localSheetId="6">#REF!</definedName>
    <definedName name="BndOffPkKwh">#REF!</definedName>
    <definedName name="BndOnPkKwh" localSheetId="6">#REF!</definedName>
    <definedName name="BndOnPkKwh">#REF!</definedName>
    <definedName name="BndPL1Chg" localSheetId="6">#REF!</definedName>
    <definedName name="BndPL1Chg">#REF!</definedName>
    <definedName name="BndPL2Chg" localSheetId="6">#REF!</definedName>
    <definedName name="BndPL2Chg">#REF!</definedName>
    <definedName name="BndPL3Chg" localSheetId="6">#REF!</definedName>
    <definedName name="BndPL3Chg">#REF!</definedName>
    <definedName name="BndPL4Chg" localSheetId="6">#REF!</definedName>
    <definedName name="BndPL4Chg">#REF!</definedName>
    <definedName name="BndPL5Chg" localSheetId="6">#REF!</definedName>
    <definedName name="BndPL5Chg">#REF!</definedName>
    <definedName name="BndReactiveChg" localSheetId="6">#REF!</definedName>
    <definedName name="BndReactiveChg">#REF!</definedName>
    <definedName name="BndXOfpKvaChg" localSheetId="6">#REF!</definedName>
    <definedName name="BndXOfpKvaChg">#REF!</definedName>
    <definedName name="BndXOfpKwChg" localSheetId="6">#REF!</definedName>
    <definedName name="BndXOfpKwChg">#REF!</definedName>
    <definedName name="BTTrueUp" localSheetId="6">#REF!</definedName>
    <definedName name="BTTrueUp">#REF!</definedName>
    <definedName name="BUNCCHG" localSheetId="6">#REF!</definedName>
    <definedName name="BUNCCHG">#REF!</definedName>
    <definedName name="BUNDCHG1" localSheetId="6">#REF!</definedName>
    <definedName name="BUNDCHG1">#REF!</definedName>
    <definedName name="BUNDCHG2" localSheetId="6">#REF!</definedName>
    <definedName name="BUNDCHG2">#REF!</definedName>
    <definedName name="BUNECHG1" localSheetId="6">#REF!</definedName>
    <definedName name="BUNECHG1">#REF!</definedName>
    <definedName name="BUNECHGB1" localSheetId="6">#REF!</definedName>
    <definedName name="BUNECHGB1">#REF!</definedName>
    <definedName name="BUNECHGB2" localSheetId="6">#REF!</definedName>
    <definedName name="BUNECHGB2">#REF!</definedName>
    <definedName name="BUNECHGB3" localSheetId="6">#REF!</definedName>
    <definedName name="BUNECHGB3">#REF!</definedName>
    <definedName name="BUNECHGW" localSheetId="6">#REF!</definedName>
    <definedName name="BUNECHGW">#REF!</definedName>
    <definedName name="BUNKWH1" localSheetId="6">#REF!</definedName>
    <definedName name="BUNKWH1">#REF!</definedName>
    <definedName name="BUNKWHB1" localSheetId="6">#REF!</definedName>
    <definedName name="BUNKWHB1">#REF!</definedName>
    <definedName name="BUNKWHB2" localSheetId="6">#REF!</definedName>
    <definedName name="BUNKWHB2">#REF!</definedName>
    <definedName name="BUNKWHB3" localSheetId="6">#REF!</definedName>
    <definedName name="BUNKWHB3">#REF!</definedName>
    <definedName name="BUNKWHWH" localSheetId="6">#REF!</definedName>
    <definedName name="BUNKWHWH">#REF!</definedName>
    <definedName name="BUNMECHG1" localSheetId="6">#REF!</definedName>
    <definedName name="BUNMECHG1">#REF!</definedName>
    <definedName name="BUNOFKWH" localSheetId="6">#REF!</definedName>
    <definedName name="BUNOFKWH">#REF!</definedName>
    <definedName name="BUNOPKWH" localSheetId="6">#REF!</definedName>
    <definedName name="BUNOPKWH">#REF!</definedName>
    <definedName name="BUNP1EC" localSheetId="6">#REF!</definedName>
    <definedName name="BUNP1EC">#REF!</definedName>
    <definedName name="BUNP2EC" localSheetId="6">#REF!</definedName>
    <definedName name="BUNP2EC">#REF!</definedName>
    <definedName name="BUNP3EC" localSheetId="6">#REF!</definedName>
    <definedName name="BUNP3EC">#REF!</definedName>
    <definedName name="BUNP4EC" localSheetId="6">#REF!</definedName>
    <definedName name="BUNP4EC">#REF!</definedName>
    <definedName name="BUNP5EC" localSheetId="6">#REF!</definedName>
    <definedName name="BUNP5EC">#REF!</definedName>
    <definedName name="BUNPDMDCHG" localSheetId="6">#REF!</definedName>
    <definedName name="BUNPDMDCHG">#REF!</definedName>
    <definedName name="BUNRCHG" localSheetId="6">#REF!</definedName>
    <definedName name="BUNRCHG">#REF!</definedName>
    <definedName name="BUNXKVA" localSheetId="6">#REF!</definedName>
    <definedName name="BUNXKVA">#REF!</definedName>
    <definedName name="BUNXKVAPCT" localSheetId="6">#REF!</definedName>
    <definedName name="BUNXKVAPCT">#REF!</definedName>
    <definedName name="BUNXOFKW" localSheetId="6">#REF!</definedName>
    <definedName name="BUNXOFKW">#REF!</definedName>
    <definedName name="CALCPFCC" localSheetId="6">#REF!</definedName>
    <definedName name="CALCPFCC">#REF!</definedName>
    <definedName name="CAPDEFA" localSheetId="6">#REF!</definedName>
    <definedName name="CAPDEFA">#REF!</definedName>
    <definedName name="CBLKWH" localSheetId="6">#REF!</definedName>
    <definedName name="CBLKWH">#REF!</definedName>
    <definedName name="City" localSheetId="6">#REF!</definedName>
    <definedName name="City">#REF!</definedName>
    <definedName name="CNTRCTDMND" localSheetId="6">#REF!</definedName>
    <definedName name="CNTRCTDMND">#REF!</definedName>
    <definedName name="CoPhoneLine" localSheetId="6">#REF!</definedName>
    <definedName name="CoPhoneLine">#REF!</definedName>
    <definedName name="CRMOINTRPTHRS" localSheetId="6">#REF!</definedName>
    <definedName name="CRMOINTRPTHRS">#REF!</definedName>
    <definedName name="CRNTMOBTKWH" localSheetId="6">#REF!</definedName>
    <definedName name="CRNTMOBTKWH">#REF!</definedName>
    <definedName name="CRNTMOFPKHRS" localSheetId="6">#REF!</definedName>
    <definedName name="CRNTMOFPKHRS">#REF!</definedName>
    <definedName name="CRNTMONPKHRS" localSheetId="6">#REF!</definedName>
    <definedName name="CRNTMONPKHRS">#REF!</definedName>
    <definedName name="CRTLBLONPKHRS" localSheetId="6">#REF!</definedName>
    <definedName name="CRTLBLONPKHRS">#REF!</definedName>
    <definedName name="CRTLBLONPKKWH" localSheetId="6">#REF!</definedName>
    <definedName name="CRTLBLONPKKWH">#REF!</definedName>
    <definedName name="CSTMRCHG" localSheetId="6">#REF!</definedName>
    <definedName name="CSTMRCHG">#REF!</definedName>
    <definedName name="CurMoAddr1" localSheetId="6">#REF!</definedName>
    <definedName name="CurMoAddr1">#REF!</definedName>
    <definedName name="CurMoAddr2" localSheetId="6">#REF!</definedName>
    <definedName name="CurMoAddr2">#REF!</definedName>
    <definedName name="CurMoBTDetail" localSheetId="6">#REF!</definedName>
    <definedName name="CurMoBTDetail">#REF!</definedName>
    <definedName name="CurMoBuyThrgh_Sheet" localSheetId="6">#REF!</definedName>
    <definedName name="CurMoBuyThrgh_Sheet">#REF!</definedName>
    <definedName name="CurMoCityStZip" localSheetId="6">#REF!</definedName>
    <definedName name="CurMoCityStZip">#REF!</definedName>
    <definedName name="CurMoCustName" localSheetId="6">#REF!</definedName>
    <definedName name="CurMoCustName">#REF!</definedName>
    <definedName name="CurMoExcessAmt" localSheetId="6">#REF!</definedName>
    <definedName name="CurMoExcessAmt">#REF!</definedName>
    <definedName name="CurMoGrTaxAmt" localSheetId="6">#REF!</definedName>
    <definedName name="CurMoGrTaxAmt">#REF!</definedName>
    <definedName name="CurMoKWHExcess" localSheetId="6">#REF!</definedName>
    <definedName name="CurMoKWHExcess">#REF!</definedName>
    <definedName name="CurMoKWHNotUsed" localSheetId="6">#REF!</definedName>
    <definedName name="CurMoKWHNotUsed">#REF!</definedName>
    <definedName name="CurMoKWHRes" localSheetId="6">#REF!</definedName>
    <definedName name="CurMoKWHRes">#REF!</definedName>
    <definedName name="CurMoKWHSubTot" localSheetId="6">#REF!</definedName>
    <definedName name="CurMoKWHSubTot">#REF!</definedName>
    <definedName name="CurMoKWHTot" localSheetId="6">#REF!</definedName>
    <definedName name="CurMoKWHTot">#REF!</definedName>
    <definedName name="CurMoMtrMult" localSheetId="6">#REF!</definedName>
    <definedName name="CurMoMtrMult">#REF!</definedName>
    <definedName name="CurMoNotUsedAmt" localSheetId="6">#REF!</definedName>
    <definedName name="CurMoNotUsedAmt">#REF!</definedName>
    <definedName name="CurMoResAmt" localSheetId="6">#REF!</definedName>
    <definedName name="CurMoResAmt">#REF!</definedName>
    <definedName name="CurMoSubTotAmt" localSheetId="6">#REF!</definedName>
    <definedName name="CurMoSubTotAmt">#REF!</definedName>
    <definedName name="CurMoTotAmt" localSheetId="6">#REF!</definedName>
    <definedName name="CurMoTotAmt">#REF!</definedName>
    <definedName name="CurrYear" localSheetId="6">#REF!</definedName>
    <definedName name="CurrYear">#REF!</definedName>
    <definedName name="CustAddr1" localSheetId="6">#REF!</definedName>
    <definedName name="CustAddr1">#REF!</definedName>
    <definedName name="CustAddr2" localSheetId="6">#REF!</definedName>
    <definedName name="CustAddr2">#REF!</definedName>
    <definedName name="CustCityStZip" localSheetId="6">#REF!</definedName>
    <definedName name="CustCityStZip">#REF!</definedName>
    <definedName name="CustName2" localSheetId="6">#REF!</definedName>
    <definedName name="CustName2">#REF!</definedName>
    <definedName name="CustTable" localSheetId="6">#REF!</definedName>
    <definedName name="CustTable">#REF!</definedName>
    <definedName name="DetailTotCbl" localSheetId="6">#REF!</definedName>
    <definedName name="DetailTotCbl">#REF!</definedName>
    <definedName name="DetailTotChg" localSheetId="6">#REF!</definedName>
    <definedName name="DetailTotChg">#REF!</definedName>
    <definedName name="DetailTotKw" localSheetId="6">#REF!</definedName>
    <definedName name="DetailTotKw">#REF!</definedName>
    <definedName name="DetailTotMargin" localSheetId="6">#REF!</definedName>
    <definedName name="DetailTotMargin">#REF!</definedName>
    <definedName name="DIRPCCHG" localSheetId="6">#REF!</definedName>
    <definedName name="DIRPCCHG">#REF!</definedName>
    <definedName name="DIRPDCHG1" localSheetId="6">#REF!</definedName>
    <definedName name="DIRPDCHG1">#REF!</definedName>
    <definedName name="DIRPDCHG2" localSheetId="6">#REF!</definedName>
    <definedName name="DIRPDCHG2">#REF!</definedName>
    <definedName name="DIRPECHG1" localSheetId="6">#REF!</definedName>
    <definedName name="DIRPECHG1">#REF!</definedName>
    <definedName name="DIRPECHGB1" localSheetId="6">#REF!</definedName>
    <definedName name="DIRPECHGB1">#REF!</definedName>
    <definedName name="DIRPECHGB2" localSheetId="6">#REF!</definedName>
    <definedName name="DIRPECHGB2">#REF!</definedName>
    <definedName name="DIRPECHGB3" localSheetId="6">#REF!</definedName>
    <definedName name="DIRPECHGB3">#REF!</definedName>
    <definedName name="DIRPMECHG1" localSheetId="6">#REF!</definedName>
    <definedName name="DIRPMECHG1">#REF!</definedName>
    <definedName name="DIRPMINDC" localSheetId="6">#REF!</definedName>
    <definedName name="DIRPMINDC">#REF!</definedName>
    <definedName name="DIRPMINEC" localSheetId="6">#REF!</definedName>
    <definedName name="DIRPMINEC">#REF!</definedName>
    <definedName name="DIRPOFKVA" localSheetId="6">#REF!</definedName>
    <definedName name="DIRPOFKVA">#REF!</definedName>
    <definedName name="DIRPOFKW" localSheetId="6">#REF!</definedName>
    <definedName name="DIRPOFKW">#REF!</definedName>
    <definedName name="DIRPOFKWH" localSheetId="6">#REF!</definedName>
    <definedName name="DIRPOFKWH">#REF!</definedName>
    <definedName name="DIRPOPKWH" localSheetId="6">#REF!</definedName>
    <definedName name="DIRPOPKWH">#REF!</definedName>
    <definedName name="DIRPP1EC" localSheetId="6">#REF!</definedName>
    <definedName name="DIRPP1EC">#REF!</definedName>
    <definedName name="DIRPP2EC" localSheetId="6">#REF!</definedName>
    <definedName name="DIRPP2EC">#REF!</definedName>
    <definedName name="DIRPP3EC" localSheetId="6">#REF!</definedName>
    <definedName name="DIRPP3EC">#REF!</definedName>
    <definedName name="DIRPP4EC" localSheetId="6">#REF!</definedName>
    <definedName name="DIRPP4EC">#REF!</definedName>
    <definedName name="DIRPP5EC" localSheetId="6">#REF!</definedName>
    <definedName name="DIRPP5EC">#REF!</definedName>
    <definedName name="DIRPRCHG" localSheetId="6">#REF!</definedName>
    <definedName name="DIRPRCHG">#REF!</definedName>
    <definedName name="DisBlkKwhChg1" localSheetId="6">#REF!</definedName>
    <definedName name="DisBlkKwhChg1">#REF!</definedName>
    <definedName name="DisBlkKwhChg2" localSheetId="6">#REF!</definedName>
    <definedName name="DisBlkKwhChg2">#REF!</definedName>
    <definedName name="DisBlkKwhChg3" localSheetId="6">#REF!</definedName>
    <definedName name="DisBlkKwhChg3">#REF!</definedName>
    <definedName name="DisBlkKwhChgT" localSheetId="6">#REF!</definedName>
    <definedName name="DisBlkKwhChgT">#REF!</definedName>
    <definedName name="DisCustChg" localSheetId="6">#REF!</definedName>
    <definedName name="DisCustChg">#REF!</definedName>
    <definedName name="DisDmdChg1" localSheetId="6">#REF!</definedName>
    <definedName name="DisDmdChg1">#REF!</definedName>
    <definedName name="DisDmdChg2" localSheetId="6">#REF!</definedName>
    <definedName name="DisDmdChg2">#REF!</definedName>
    <definedName name="DisMEChg" localSheetId="6">#REF!</definedName>
    <definedName name="DisMEChg">#REF!</definedName>
    <definedName name="DisMinDChg" localSheetId="6">#REF!</definedName>
    <definedName name="DisMinDChg">#REF!</definedName>
    <definedName name="DisMinEChg" localSheetId="6">#REF!</definedName>
    <definedName name="DisMinEChg">#REF!</definedName>
    <definedName name="DisOffPkKwh" localSheetId="6">#REF!</definedName>
    <definedName name="DisOffPkKwh">#REF!</definedName>
    <definedName name="DisOnPkKwh" localSheetId="6">#REF!</definedName>
    <definedName name="DisOnPkKwh">#REF!</definedName>
    <definedName name="DisPL1Chg" localSheetId="6">#REF!</definedName>
    <definedName name="DisPL1Chg">#REF!</definedName>
    <definedName name="DisPL2Chg" localSheetId="6">#REF!</definedName>
    <definedName name="DisPL2Chg">#REF!</definedName>
    <definedName name="DisPL3Chg" localSheetId="6">#REF!</definedName>
    <definedName name="DisPL3Chg">#REF!</definedName>
    <definedName name="DisPL4Chg" localSheetId="6">#REF!</definedName>
    <definedName name="DisPL4Chg">#REF!</definedName>
    <definedName name="DisPL5Chg" localSheetId="6">#REF!</definedName>
    <definedName name="DisPL5Chg">#REF!</definedName>
    <definedName name="DisReactiveChg" localSheetId="6">#REF!</definedName>
    <definedName name="DisReactiveChg">#REF!</definedName>
    <definedName name="DisXOfpKvaChg" localSheetId="6">#REF!</definedName>
    <definedName name="DisXOfpKvaChg">#REF!</definedName>
    <definedName name="DisXOfpKwChg" localSheetId="6">#REF!</definedName>
    <definedName name="DisXOfpKwChg">#REF!</definedName>
    <definedName name="DSTCCHG" localSheetId="6">#REF!</definedName>
    <definedName name="DSTCCHG">#REF!</definedName>
    <definedName name="DSTDCHG1" localSheetId="6">#REF!</definedName>
    <definedName name="DSTDCHG1">#REF!</definedName>
    <definedName name="DSTDCHG2" localSheetId="6">#REF!</definedName>
    <definedName name="DSTDCHG2">#REF!</definedName>
    <definedName name="DSTECHG1" localSheetId="6">#REF!</definedName>
    <definedName name="DSTECHG1">#REF!</definedName>
    <definedName name="DSTECHGB1" localSheetId="6">#REF!</definedName>
    <definedName name="DSTECHGB1">#REF!</definedName>
    <definedName name="DSTECHGB2" localSheetId="6">#REF!</definedName>
    <definedName name="DSTECHGB2">#REF!</definedName>
    <definedName name="DSTECHGB3" localSheetId="6">#REF!</definedName>
    <definedName name="DSTECHGB3">#REF!</definedName>
    <definedName name="DSTMECHG1" localSheetId="6">#REF!</definedName>
    <definedName name="DSTMECHG1">#REF!</definedName>
    <definedName name="DSTMINDC" localSheetId="6">#REF!</definedName>
    <definedName name="DSTMINDC">#REF!</definedName>
    <definedName name="DSTMINEC" localSheetId="6">#REF!</definedName>
    <definedName name="DSTMINEC">#REF!</definedName>
    <definedName name="DSTOFKWH" localSheetId="6">#REF!</definedName>
    <definedName name="DSTOFKWH">#REF!</definedName>
    <definedName name="DSTOPKWH" localSheetId="6">#REF!</definedName>
    <definedName name="DSTOPKWH">#REF!</definedName>
    <definedName name="DSTP1EC" localSheetId="6">#REF!</definedName>
    <definedName name="DSTP1EC">#REF!</definedName>
    <definedName name="DSTP2EC" localSheetId="6">#REF!</definedName>
    <definedName name="DSTP2EC">#REF!</definedName>
    <definedName name="DSTP3EC" localSheetId="6">#REF!</definedName>
    <definedName name="DSTP3EC">#REF!</definedName>
    <definedName name="DSTP4EC" localSheetId="6">#REF!</definedName>
    <definedName name="DSTP4EC">#REF!</definedName>
    <definedName name="DSTP5EC" localSheetId="6">#REF!</definedName>
    <definedName name="DSTP5EC">#REF!</definedName>
    <definedName name="DSTRCHG" localSheetId="6">#REF!</definedName>
    <definedName name="DSTRCHG">#REF!</definedName>
    <definedName name="DSTXOFKVA" localSheetId="6">#REF!</definedName>
    <definedName name="DSTXOFKVA">#REF!</definedName>
    <definedName name="DSTXOFKW" localSheetId="6">#REF!</definedName>
    <definedName name="DSTXOFKW">#REF!</definedName>
    <definedName name="EDRBASE" localSheetId="6">#REF!</definedName>
    <definedName name="EDRBASE">#REF!</definedName>
    <definedName name="EDRDATE" localSheetId="6">#REF!</definedName>
    <definedName name="EDRDATE">#REF!</definedName>
    <definedName name="EDRDSCNT" localSheetId="6">#REF!</definedName>
    <definedName name="EDRDSCNT">#REF!</definedName>
    <definedName name="EDRLVLPCT" localSheetId="6">#REF!</definedName>
    <definedName name="EDRLVLPCT">#REF!</definedName>
    <definedName name="EDRTYPE" localSheetId="6">#REF!</definedName>
    <definedName name="EDRTYPE">#REF!</definedName>
    <definedName name="EffDate" localSheetId="6">#REF!</definedName>
    <definedName name="EffDate">#REF!</definedName>
    <definedName name="ELKMCGN1" localSheetId="6">#REF!</definedName>
    <definedName name="ELKMCGN1">#REF!</definedName>
    <definedName name="ELKMCGN2" localSheetId="6">#REF!</definedName>
    <definedName name="ELKMCGN2">#REF!</definedName>
    <definedName name="ENDDTM" localSheetId="6">#REF!</definedName>
    <definedName name="ENDDTM">#REF!</definedName>
    <definedName name="ENDTIME" localSheetId="6">#REF!</definedName>
    <definedName name="ENDTIME">#REF!</definedName>
    <definedName name="EstExcessAmt" localSheetId="6">#REF!</definedName>
    <definedName name="EstExcessAmt">#REF!</definedName>
    <definedName name="EstGrTaxAmt" localSheetId="6">#REF!</definedName>
    <definedName name="EstGrTaxAmt">#REF!</definedName>
    <definedName name="EstKWHExcess" localSheetId="6">#REF!</definedName>
    <definedName name="EstKWHExcess">#REF!</definedName>
    <definedName name="EstKWHNotUsed" localSheetId="6">#REF!</definedName>
    <definedName name="EstKWHNotUsed">#REF!</definedName>
    <definedName name="EstKWHRes" localSheetId="6">#REF!</definedName>
    <definedName name="EstKWHRes">#REF!</definedName>
    <definedName name="EstKWHSubTot" localSheetId="6">#REF!</definedName>
    <definedName name="EstKWHSubTot">#REF!</definedName>
    <definedName name="EstKWHTot" localSheetId="6">#REF!</definedName>
    <definedName name="EstKWHTot">#REF!</definedName>
    <definedName name="EstNotUsedAmt" localSheetId="6">#REF!</definedName>
    <definedName name="EstNotUsedAmt">#REF!</definedName>
    <definedName name="EstResAmt" localSheetId="6">#REF!</definedName>
    <definedName name="EstResAmt">#REF!</definedName>
    <definedName name="EstSubTotAmt" localSheetId="6">#REF!</definedName>
    <definedName name="EstSubTotAmt">#REF!</definedName>
    <definedName name="EstTotAmt" localSheetId="6">#REF!</definedName>
    <definedName name="EstTotAmt">#REF!</definedName>
    <definedName name="EXCSKVACHG" localSheetId="6">#REF!</definedName>
    <definedName name="EXCSKVACHG">#REF!</definedName>
    <definedName name="EXCSKVADMND" localSheetId="6">#REF!</definedName>
    <definedName name="EXCSKVADMND">#REF!</definedName>
    <definedName name="EXCSKVAR" localSheetId="6">#REF!</definedName>
    <definedName name="EXCSKVAR">#REF!</definedName>
    <definedName name="FIRMKWH" localSheetId="6">#REF!</definedName>
    <definedName name="FIRMKWH">#REF!</definedName>
    <definedName name="FIRSTDAY" localSheetId="6">#REF!</definedName>
    <definedName name="FIRSTDAY">#REF!</definedName>
    <definedName name="FRMCPCT" localSheetId="6">#REF!</definedName>
    <definedName name="FRMCPCT">#REF!</definedName>
    <definedName name="FUELCHG" localSheetId="6">#REF!</definedName>
    <definedName name="FUELCHG">#REF!</definedName>
    <definedName name="FUELRATE" localSheetId="6">#REF!</definedName>
    <definedName name="FUELRATE">#REF!</definedName>
    <definedName name="GenBlkKwhChg1" localSheetId="6">#REF!</definedName>
    <definedName name="GenBlkKwhChg1">#REF!</definedName>
    <definedName name="GenBlkKwhChg2" localSheetId="6">#REF!</definedName>
    <definedName name="GenBlkKwhChg2">#REF!</definedName>
    <definedName name="GenBlkKwhChg3" localSheetId="6">#REF!</definedName>
    <definedName name="GenBlkKwhChg3">#REF!</definedName>
    <definedName name="GenBlkKwhChgT" localSheetId="6">#REF!</definedName>
    <definedName name="GenBlkKwhChgT">#REF!</definedName>
    <definedName name="GENCCHG" localSheetId="6">#REF!</definedName>
    <definedName name="GENCCHG">#REF!</definedName>
    <definedName name="GenCustChg" localSheetId="6">#REF!</definedName>
    <definedName name="GenCustChg">#REF!</definedName>
    <definedName name="GENDCHG1" localSheetId="6">#REF!</definedName>
    <definedName name="GENDCHG1">#REF!</definedName>
    <definedName name="GENDCHG2" localSheetId="6">#REF!</definedName>
    <definedName name="GENDCHG2">#REF!</definedName>
    <definedName name="GenDmdChg1" localSheetId="6">#REF!</definedName>
    <definedName name="GenDmdChg1">#REF!</definedName>
    <definedName name="GenDmdChg2" localSheetId="6">#REF!</definedName>
    <definedName name="GenDmdChg2">#REF!</definedName>
    <definedName name="GENECHG1" localSheetId="6">#REF!</definedName>
    <definedName name="GENECHG1">#REF!</definedName>
    <definedName name="GENECHGB1" localSheetId="6">#REF!</definedName>
    <definedName name="GENECHGB1">#REF!</definedName>
    <definedName name="GENECHGB2" localSheetId="6">#REF!</definedName>
    <definedName name="GENECHGB2">#REF!</definedName>
    <definedName name="GENECHGB3" localSheetId="6">#REF!</definedName>
    <definedName name="GENECHGB3">#REF!</definedName>
    <definedName name="GenMEChg" localSheetId="6">#REF!</definedName>
    <definedName name="GenMEChg">#REF!</definedName>
    <definedName name="GENMECHG1" localSheetId="6">#REF!</definedName>
    <definedName name="GENMECHG1">#REF!</definedName>
    <definedName name="GENMINDC" localSheetId="6">#REF!</definedName>
    <definedName name="GENMINDC">#REF!</definedName>
    <definedName name="GenMinDChg" localSheetId="6">#REF!</definedName>
    <definedName name="GenMinDChg">#REF!</definedName>
    <definedName name="GENMINEC" localSheetId="6">#REF!</definedName>
    <definedName name="GENMINEC">#REF!</definedName>
    <definedName name="GenMinEChg" localSheetId="6">#REF!</definedName>
    <definedName name="GenMinEChg">#REF!</definedName>
    <definedName name="GenOffPkKwh" localSheetId="6">#REF!</definedName>
    <definedName name="GenOffPkKwh">#REF!</definedName>
    <definedName name="GENOFKWH" localSheetId="6">#REF!</definedName>
    <definedName name="GENOFKWH">#REF!</definedName>
    <definedName name="GenOnPkKwh" localSheetId="6">#REF!</definedName>
    <definedName name="GenOnPkKwh">#REF!</definedName>
    <definedName name="GENOPKWH" localSheetId="6">#REF!</definedName>
    <definedName name="GENOPKWH">#REF!</definedName>
    <definedName name="GENP1EC" localSheetId="6">#REF!</definedName>
    <definedName name="GENP1EC">#REF!</definedName>
    <definedName name="GENP2EC" localSheetId="6">#REF!</definedName>
    <definedName name="GENP2EC">#REF!</definedName>
    <definedName name="GENP3EC" localSheetId="6">#REF!</definedName>
    <definedName name="GENP3EC">#REF!</definedName>
    <definedName name="GENP4EC" localSheetId="6">#REF!</definedName>
    <definedName name="GENP4EC">#REF!</definedName>
    <definedName name="GENP5EC" localSheetId="6">#REF!</definedName>
    <definedName name="GENP5EC">#REF!</definedName>
    <definedName name="GenPL1Chg" localSheetId="6">#REF!</definedName>
    <definedName name="GenPL1Chg">#REF!</definedName>
    <definedName name="GenPL2Chg" localSheetId="6">#REF!</definedName>
    <definedName name="GenPL2Chg">#REF!</definedName>
    <definedName name="GenPL3Chg" localSheetId="6">#REF!</definedName>
    <definedName name="GenPL3Chg">#REF!</definedName>
    <definedName name="GenPL4Chg" localSheetId="6">#REF!</definedName>
    <definedName name="GenPL4Chg">#REF!</definedName>
    <definedName name="GenPL5Chg" localSheetId="6">#REF!</definedName>
    <definedName name="GenPL5Chg">#REF!</definedName>
    <definedName name="GENRCHG" localSheetId="6">#REF!</definedName>
    <definedName name="GENRCHG">#REF!</definedName>
    <definedName name="GenReactiveChg" localSheetId="6">#REF!</definedName>
    <definedName name="GenReactiveChg">#REF!</definedName>
    <definedName name="GENXOFKVA" localSheetId="6">#REF!</definedName>
    <definedName name="GENXOFKVA">#REF!</definedName>
    <definedName name="GENXOFKW" localSheetId="6">#REF!</definedName>
    <definedName name="GENXOFKW">#REF!</definedName>
    <definedName name="GenXOfpKvaChg" localSheetId="6">#REF!</definedName>
    <definedName name="GenXOfpKvaChg">#REF!</definedName>
    <definedName name="GenXOfpKwChg" localSheetId="6">#REF!</definedName>
    <definedName name="GenXOfpKwChg">#REF!</definedName>
    <definedName name="GIRPCCHG" localSheetId="6">#REF!</definedName>
    <definedName name="GIRPCCHG">#REF!</definedName>
    <definedName name="GIRPDCHG1" localSheetId="6">#REF!</definedName>
    <definedName name="GIRPDCHG1">#REF!</definedName>
    <definedName name="GIRPDCHG2" localSheetId="6">#REF!</definedName>
    <definedName name="GIRPDCHG2">#REF!</definedName>
    <definedName name="GIRPECHG1" localSheetId="6">#REF!</definedName>
    <definedName name="GIRPECHG1">#REF!</definedName>
    <definedName name="GIRPECHGB1" localSheetId="6">#REF!</definedName>
    <definedName name="GIRPECHGB1">#REF!</definedName>
    <definedName name="GIRPECHGB2" localSheetId="6">#REF!</definedName>
    <definedName name="GIRPECHGB2">#REF!</definedName>
    <definedName name="GIRPECHGB3" localSheetId="6">#REF!</definedName>
    <definedName name="GIRPECHGB3">#REF!</definedName>
    <definedName name="GIRPMECHG1" localSheetId="6">#REF!</definedName>
    <definedName name="GIRPMECHG1">#REF!</definedName>
    <definedName name="GIRPMINDC" localSheetId="6">#REF!</definedName>
    <definedName name="GIRPMINDC">#REF!</definedName>
    <definedName name="GIRPMINEC" localSheetId="6">#REF!</definedName>
    <definedName name="GIRPMINEC">#REF!</definedName>
    <definedName name="GIRPOFKVA" localSheetId="6">#REF!</definedName>
    <definedName name="GIRPOFKVA">#REF!</definedName>
    <definedName name="GIRPOFKW" localSheetId="6">#REF!</definedName>
    <definedName name="GIRPOFKW">#REF!</definedName>
    <definedName name="GIRPOFKWH" localSheetId="6">#REF!</definedName>
    <definedName name="GIRPOFKWH">#REF!</definedName>
    <definedName name="GIRPOPKWH" localSheetId="6">#REF!</definedName>
    <definedName name="GIRPOPKWH">#REF!</definedName>
    <definedName name="GIRPP1EC" localSheetId="6">#REF!</definedName>
    <definedName name="GIRPP1EC">#REF!</definedName>
    <definedName name="GIRPP2EC" localSheetId="6">#REF!</definedName>
    <definedName name="GIRPP2EC">#REF!</definedName>
    <definedName name="GIRPP3EC" localSheetId="6">#REF!</definedName>
    <definedName name="GIRPP3EC">#REF!</definedName>
    <definedName name="GIRPP4EC" localSheetId="6">#REF!</definedName>
    <definedName name="GIRPP4EC">#REF!</definedName>
    <definedName name="GIRPP5EC" localSheetId="6">#REF!</definedName>
    <definedName name="GIRPP5EC">#REF!</definedName>
    <definedName name="GIRPRCHG" localSheetId="6">#REF!</definedName>
    <definedName name="GIRPRCHG">#REF!</definedName>
    <definedName name="HEADA">#REF!</definedName>
    <definedName name="HEADB">#REF!</definedName>
    <definedName name="HEADC">#REF!</definedName>
    <definedName name="HEADD">#REF!</definedName>
    <definedName name="HIPREKW" localSheetId="6">#REF!</definedName>
    <definedName name="HIPREKW">#REF!</definedName>
    <definedName name="HRCRDKW" localSheetId="6">#REF!</definedName>
    <definedName name="HRCRDKW">#REF!</definedName>
    <definedName name="HRCRDKWDT" localSheetId="6">#REF!</definedName>
    <definedName name="HRCRDKWDT">#REF!</definedName>
    <definedName name="HRCRDKWTM" localSheetId="6">#REF!</definedName>
    <definedName name="HRCRDKWTM">#REF!</definedName>
    <definedName name="HROFPKDT" localSheetId="6">#REF!</definedName>
    <definedName name="HROFPKDT">#REF!</definedName>
    <definedName name="HROFPKKW" localSheetId="6">#REF!</definedName>
    <definedName name="HROFPKKW">#REF!</definedName>
    <definedName name="HROFPKTM" localSheetId="6">#REF!</definedName>
    <definedName name="HROFPKTM">#REF!</definedName>
    <definedName name="HRONPKDT" localSheetId="6">#REF!</definedName>
    <definedName name="HRONPKDT">#REF!</definedName>
    <definedName name="HRONPKKW" localSheetId="6">#REF!</definedName>
    <definedName name="HRONPKKW">#REF!</definedName>
    <definedName name="HRONPKTM" localSheetId="6">#REF!</definedName>
    <definedName name="HRONPKTM">#REF!</definedName>
    <definedName name="IM_Allocators" localSheetId="20">[2]TCOS!#REF!</definedName>
    <definedName name="IM_Allocators" localSheetId="1">[3]TCOS!#REF!</definedName>
    <definedName name="IM_Allocators" localSheetId="6">[4]TCOS!#REF!</definedName>
    <definedName name="IM_Allocators" localSheetId="13">#REF!</definedName>
    <definedName name="IM_Allocators" localSheetId="18">[5]TCOS!#REF!</definedName>
    <definedName name="IM_Allocators">TCOS!#REF!</definedName>
    <definedName name="IMCO" localSheetId="6">#REF!</definedName>
    <definedName name="IMCO">#REF!</definedName>
    <definedName name="InterruptCapacity" localSheetId="6">#REF!</definedName>
    <definedName name="InterruptCapacity">#REF!</definedName>
    <definedName name="InterruptOfpCapacity" localSheetId="6">#REF!</definedName>
    <definedName name="InterruptOfpCapacity">#REF!</definedName>
    <definedName name="InterruptType" localSheetId="6">#REF!</definedName>
    <definedName name="InterruptType">#REF!</definedName>
    <definedName name="INTRPBLCAP" localSheetId="6">#REF!</definedName>
    <definedName name="INTRPBLCAP">#REF!</definedName>
    <definedName name="Invdetails" localSheetId="6">#REF!</definedName>
    <definedName name="Invdetails">#REF!</definedName>
    <definedName name="KWCHG" localSheetId="6">#REF!</definedName>
    <definedName name="KWCHG">#REF!</definedName>
    <definedName name="KWH1NOCMM" localSheetId="6">#REF!</definedName>
    <definedName name="KWH1NOCMM">#REF!</definedName>
    <definedName name="KWH3NOCMM" localSheetId="6">#REF!</definedName>
    <definedName name="KWH3NOCMM">#REF!</definedName>
    <definedName name="KWHCHG" localSheetId="6">#REF!</definedName>
    <definedName name="KWHCHG">#REF!</definedName>
    <definedName name="LASTDAY" localSheetId="6">#REF!</definedName>
    <definedName name="LASTDAY">#REF!</definedName>
    <definedName name="LASTFUEL" localSheetId="6">#REF!</definedName>
    <definedName name="LASTFUEL">#REF!</definedName>
    <definedName name="LASTMSRR" localSheetId="6">#REF!</definedName>
    <definedName name="LASTMSRR">#REF!</definedName>
    <definedName name="LASTPFCC" localSheetId="6">#REF!</definedName>
    <definedName name="LASTPFCC">#REF!</definedName>
    <definedName name="LDFCTR" localSheetId="6">#REF!</definedName>
    <definedName name="LDFCTR">#REF!</definedName>
    <definedName name="LRCREDIT" localSheetId="6">#REF!</definedName>
    <definedName name="LRCREDIT">#REF!</definedName>
    <definedName name="M_A" localSheetId="20">'[2]WS I RESERVED'!#REF!</definedName>
    <definedName name="M_A" localSheetId="1">'[3]WS I RESERVED'!#REF!</definedName>
    <definedName name="M_A" localSheetId="6">'[4]WS I RESERVED'!#REF!</definedName>
    <definedName name="M_A" localSheetId="13">#REF!</definedName>
    <definedName name="M_A" localSheetId="18">'[5]WS I RESERVED'!#REF!</definedName>
    <definedName name="M_A">'WS I RESERVED'!#REF!</definedName>
    <definedName name="MACC1" localSheetId="6">#REF!</definedName>
    <definedName name="MACC1">#REF!</definedName>
    <definedName name="MACC2" localSheetId="6">#REF!</definedName>
    <definedName name="MACC2">#REF!</definedName>
    <definedName name="MAINTHRSCRMO" localSheetId="6">#REF!</definedName>
    <definedName name="MAINTHRSCRMO">#REF!</definedName>
    <definedName name="MAINTKWH" localSheetId="6">#REF!</definedName>
    <definedName name="MAINTKWH">#REF!</definedName>
    <definedName name="MinBillDem" localSheetId="6">#REF!</definedName>
    <definedName name="MinBillDem">#REF!</definedName>
    <definedName name="MinBillDem2" localSheetId="6">#REF!</definedName>
    <definedName name="MinBillDem2">#REF!</definedName>
    <definedName name="MinBillDmd" localSheetId="6">#REF!</definedName>
    <definedName name="MinBillDmd">#REF!</definedName>
    <definedName name="MSRRBLD" localSheetId="6">#REF!</definedName>
    <definedName name="MSRRBLD">#REF!</definedName>
    <definedName name="MSRRCHG" localSheetId="6">#REF!</definedName>
    <definedName name="MSRRCHG">#REF!</definedName>
    <definedName name="MTRMLTPLR1" localSheetId="6">#REF!</definedName>
    <definedName name="MTRMLTPLR1">#REF!</definedName>
    <definedName name="MTRMLTPLR2" localSheetId="6">#REF!</definedName>
    <definedName name="MTRMLTPLR2">#REF!</definedName>
    <definedName name="NETMRGCHG" localSheetId="6">#REF!</definedName>
    <definedName name="NETMRGCHG">#REF!</definedName>
    <definedName name="NODAYSINPRD" localSheetId="6">#REF!</definedName>
    <definedName name="NODAYSINPRD">#REF!</definedName>
    <definedName name="NODELPOINTS" localSheetId="6">#REF!</definedName>
    <definedName name="NODELPOINTS">#REF!</definedName>
    <definedName name="np">[6]TCOS!$J$105</definedName>
    <definedName name="NP_h" localSheetId="20">[2]TCOS!$J$104</definedName>
    <definedName name="NP_h" localSheetId="1">[3]TCOS!$J$102</definedName>
    <definedName name="NP_h" localSheetId="6">[4]TCOS!$J$82</definedName>
    <definedName name="NP_h" localSheetId="13">'[7]APCo Historic TCOS'!$J$100</definedName>
    <definedName name="NP_h" localSheetId="18">[5]TCOS!$J$102</definedName>
    <definedName name="NP_h">TCOS!$J$82</definedName>
    <definedName name="NP_h1" localSheetId="6">#REF!</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6">#REF!</definedName>
    <definedName name="OFPCBLKW">#REF!</definedName>
    <definedName name="OFPKBILLKWH" localSheetId="6">#REF!</definedName>
    <definedName name="OFPKBILLKWH">#REF!</definedName>
    <definedName name="OFPKCGNKWH" localSheetId="6">#REF!</definedName>
    <definedName name="OFPKCGNKWH">#REF!</definedName>
    <definedName name="OFPKCNTRCTCPCT" localSheetId="6">#REF!</definedName>
    <definedName name="OFPKCNTRCTCPCT">#REF!</definedName>
    <definedName name="OFPKDMPKWH" localSheetId="6">#REF!</definedName>
    <definedName name="OFPKDMPKWH">#REF!</definedName>
    <definedName name="OFPKDSCRKWH" localSheetId="6">#REF!</definedName>
    <definedName name="OFPKDSCRKWH">#REF!</definedName>
    <definedName name="OFPKDT" localSheetId="6">#REF!</definedName>
    <definedName name="OFPKDT">#REF!</definedName>
    <definedName name="OFPKEXCSKW" localSheetId="6">#REF!</definedName>
    <definedName name="OFPKEXCSKW">#REF!</definedName>
    <definedName name="OFPKINCRKWH" localSheetId="6">#REF!</definedName>
    <definedName name="OFPKINCRKWH">#REF!</definedName>
    <definedName name="OFPKKVADT" localSheetId="6">#REF!</definedName>
    <definedName name="OFPKKVADT">#REF!</definedName>
    <definedName name="OFPKKVATM" localSheetId="6">#REF!</definedName>
    <definedName name="OFPKKVATM">#REF!</definedName>
    <definedName name="OFPKKVW" localSheetId="6">#REF!</definedName>
    <definedName name="OFPKKVW">#REF!</definedName>
    <definedName name="OFPKKW" localSheetId="6">#REF!</definedName>
    <definedName name="OFPKKW">#REF!</definedName>
    <definedName name="OFPKKWH1NOCMM" localSheetId="6">#REF!</definedName>
    <definedName name="OFPKKWH1NOCMM">#REF!</definedName>
    <definedName name="OFPKKWH3NOCMM" localSheetId="6">#REF!</definedName>
    <definedName name="OFPKKWH3NOCMM">#REF!</definedName>
    <definedName name="OFPKRCRDKWH" localSheetId="6">#REF!</definedName>
    <definedName name="OFPKRCRDKWH">#REF!</definedName>
    <definedName name="OFPKTM" localSheetId="6">#REF!</definedName>
    <definedName name="OFPKTM">#REF!</definedName>
    <definedName name="OFPXCSKW" localSheetId="6">#REF!</definedName>
    <definedName name="OFPXCSKW">#REF!</definedName>
    <definedName name="OFPXCSKWDT" localSheetId="6">#REF!</definedName>
    <definedName name="OFPXCSKWDT">#REF!</definedName>
    <definedName name="OFPXCSKWH" localSheetId="6">#REF!</definedName>
    <definedName name="OFPXCSKWH">#REF!</definedName>
    <definedName name="OFPXCSKWTM" localSheetId="6">#REF!</definedName>
    <definedName name="OFPXCSKWTM">#REF!</definedName>
    <definedName name="ONPKBILLKWH" localSheetId="6">#REF!</definedName>
    <definedName name="ONPKBILLKWH">#REF!</definedName>
    <definedName name="ONPKCAPB" localSheetId="6">#REF!</definedName>
    <definedName name="ONPKCAPB">#REF!</definedName>
    <definedName name="ONPKCGNKWH" localSheetId="6">#REF!</definedName>
    <definedName name="ONPKCGNKWH">#REF!</definedName>
    <definedName name="ONPKCNTRCTCPCT" localSheetId="6">#REF!</definedName>
    <definedName name="ONPKCNTRCTCPCT">#REF!</definedName>
    <definedName name="ONPKDMPKWH" localSheetId="6">#REF!</definedName>
    <definedName name="ONPKDMPKWH">#REF!</definedName>
    <definedName name="ONPKDSCRKWH" localSheetId="6">#REF!</definedName>
    <definedName name="ONPKDSCRKWH">#REF!</definedName>
    <definedName name="ONPKDT" localSheetId="6">#REF!</definedName>
    <definedName name="ONPKDT">#REF!</definedName>
    <definedName name="ONPKINCRKWH" localSheetId="6">#REF!</definedName>
    <definedName name="ONPKINCRKWH">#REF!</definedName>
    <definedName name="ONPKKVA" localSheetId="6">#REF!</definedName>
    <definedName name="ONPKKVA">#REF!</definedName>
    <definedName name="ONPKKVADT" localSheetId="6">#REF!</definedName>
    <definedName name="ONPKKVADT">#REF!</definedName>
    <definedName name="ONPKKVATM" localSheetId="6">#REF!</definedName>
    <definedName name="ONPKKVATM">#REF!</definedName>
    <definedName name="ONPKKW" localSheetId="6">#REF!</definedName>
    <definedName name="ONPKKW">#REF!</definedName>
    <definedName name="ONPKKWH1NOCMM" localSheetId="6">#REF!</definedName>
    <definedName name="ONPKKWH1NOCMM">#REF!</definedName>
    <definedName name="ONPKKWH3NOCMM" localSheetId="6">#REF!</definedName>
    <definedName name="ONPKKWH3NOCMM">#REF!</definedName>
    <definedName name="ONPKRCRDKWH" localSheetId="6">#REF!</definedName>
    <definedName name="ONPKRCRDKWH">#REF!</definedName>
    <definedName name="ONPKTM" localSheetId="6">#REF!</definedName>
    <definedName name="ONPKTM">#REF!</definedName>
    <definedName name="OPCBLKW" localSheetId="6">#REF!</definedName>
    <definedName name="OPCBLKW">#REF!</definedName>
    <definedName name="OPCO" localSheetId="6">#REF!</definedName>
    <definedName name="OPCO">#REF!</definedName>
    <definedName name="OPXCSKW" localSheetId="6">#REF!</definedName>
    <definedName name="OPXCSKW">#REF!</definedName>
    <definedName name="OPXCSKWDT" localSheetId="6">#REF!</definedName>
    <definedName name="OPXCSKWDT">#REF!</definedName>
    <definedName name="OPXCSKWH" localSheetId="6">#REF!</definedName>
    <definedName name="OPXCSKWH">#REF!</definedName>
    <definedName name="OPXCSKWTM" localSheetId="6">#REF!</definedName>
    <definedName name="OPXCSKWTM">#REF!</definedName>
    <definedName name="OTHRTRNSKWH" localSheetId="6">#REF!</definedName>
    <definedName name="OTHRTRNSKWH">#REF!</definedName>
    <definedName name="P1PENPERC" localSheetId="6">#REF!</definedName>
    <definedName name="P1PENPERC">#REF!</definedName>
    <definedName name="P2PENPERC" localSheetId="6">#REF!</definedName>
    <definedName name="P2PENPERC">#REF!</definedName>
    <definedName name="PAGEA">#REF!</definedName>
    <definedName name="PAGEB">#REF!</definedName>
    <definedName name="PAGEC">#REF!</definedName>
    <definedName name="PAGED">#REF!</definedName>
    <definedName name="PeakDemandChg" localSheetId="6">#REF!</definedName>
    <definedName name="PeakDemandChg">#REF!</definedName>
    <definedName name="PenaltyDays" localSheetId="6">#REF!</definedName>
    <definedName name="PenaltyDays">#REF!</definedName>
    <definedName name="PenaltyPct" localSheetId="6">#REF!</definedName>
    <definedName name="PenaltyPct">#REF!</definedName>
    <definedName name="PENDAYS" localSheetId="6">#REF!</definedName>
    <definedName name="PENDAYS">#REF!</definedName>
    <definedName name="PENDAYS2" localSheetId="6">#REF!</definedName>
    <definedName name="PENDAYS2">#REF!</definedName>
    <definedName name="PFCC" localSheetId="6">#REF!</definedName>
    <definedName name="PFCC">#REF!</definedName>
    <definedName name="PKKVAR" localSheetId="6">#REF!</definedName>
    <definedName name="PKKVAR">#REF!</definedName>
    <definedName name="PKKVARDATE" localSheetId="6">#REF!</definedName>
    <definedName name="PKKVARDATE">#REF!</definedName>
    <definedName name="PKKVARTIME" localSheetId="6">#REF!</definedName>
    <definedName name="PKKVARTIME">#REF!</definedName>
    <definedName name="PLVLKWH1" localSheetId="6">#REF!</definedName>
    <definedName name="PLVLKWH1">#REF!</definedName>
    <definedName name="PLVLKWH1A" localSheetId="6">#REF!</definedName>
    <definedName name="PLVLKWH1A">#REF!</definedName>
    <definedName name="PLVLKWH2" localSheetId="6">#REF!</definedName>
    <definedName name="PLVLKWH2">#REF!</definedName>
    <definedName name="PLVLKWH23A" localSheetId="6">#REF!</definedName>
    <definedName name="PLVLKWH23A">#REF!</definedName>
    <definedName name="PLVLKWH25" localSheetId="6">#REF!</definedName>
    <definedName name="PLVLKWH25">#REF!</definedName>
    <definedName name="PLVLKWH2A" localSheetId="6">#REF!</definedName>
    <definedName name="PLVLKWH2A">#REF!</definedName>
    <definedName name="PLVLKWH3" localSheetId="6">#REF!</definedName>
    <definedName name="PLVLKWH3">#REF!</definedName>
    <definedName name="PLVLKWH3A" localSheetId="6">#REF!</definedName>
    <definedName name="PLVLKWH3A">#REF!</definedName>
    <definedName name="PLVLKWH4" localSheetId="6">#REF!</definedName>
    <definedName name="PLVLKWH4">#REF!</definedName>
    <definedName name="PLVLKWH4A" localSheetId="6">#REF!</definedName>
    <definedName name="PLVLKWH4A">#REF!</definedName>
    <definedName name="PRICEDESIG" localSheetId="6">#REF!</definedName>
    <definedName name="PRICEDESIG">#REF!</definedName>
    <definedName name="PriMoAddr1" localSheetId="6">#REF!</definedName>
    <definedName name="PriMoAddr1">#REF!</definedName>
    <definedName name="PriMoAddr2" localSheetId="6">#REF!</definedName>
    <definedName name="PriMoAddr2">#REF!</definedName>
    <definedName name="PriMoBTDetail" localSheetId="6">#REF!</definedName>
    <definedName name="PriMoBTDetail">#REF!</definedName>
    <definedName name="PriMoBuyThrgh_Sheet" localSheetId="6">#REF!</definedName>
    <definedName name="PriMoBuyThrgh_Sheet">#REF!</definedName>
    <definedName name="PriMoCityStZip" localSheetId="6">#REF!</definedName>
    <definedName name="PriMoCityStZip">#REF!</definedName>
    <definedName name="PriMoCustName" localSheetId="6">#REF!</definedName>
    <definedName name="PriMoCustName">#REF!</definedName>
    <definedName name="PriMoMtrMult" localSheetId="6">#REF!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6">'WS B-3-A Remeas Suprt'!$A$1:$N$36</definedName>
    <definedName name="_xlnm.Print_Area" localSheetId="8">'WS D IPP Credits'!$A$3:$E$28</definedName>
    <definedName name="_xlnm.Print_Area" localSheetId="9">'WS E Rev Credits'!$A$3:$K$38</definedName>
    <definedName name="_xlnm.Print_Area" localSheetId="10">'WS F Misc Exp'!$A$3:$G$74</definedName>
    <definedName name="_xlnm.Print_Area" localSheetId="11">'WS G  State Tax Rate'!$A$3:$H$34</definedName>
    <definedName name="_xlnm.Print_Area" localSheetId="12">'WS H-p1 Other Taxes'!$A$1:$M$71</definedName>
    <definedName name="_xlnm.Print_Area" localSheetId="13">'WS H-p2 Detail of Tax Amts'!$A$1:$I$111</definedName>
    <definedName name="_xlnm.Print_Area" localSheetId="14">'WS I RESERVED'!$A$1:$J$15</definedName>
    <definedName name="_xlnm.Print_Area" localSheetId="15">'WS J PROJECTED RTEP RR'!$A$1:$O$977</definedName>
    <definedName name="_xlnm.Print_Area" localSheetId="16">'WS K TRUE-UP RTEP RR'!$A$1:$P$949</definedName>
    <definedName name="_xlnm.Print_Area" localSheetId="17">'WS L RESERVED'!$A$3:$F$9</definedName>
    <definedName name="_xlnm.Print_Area" localSheetId="19">'WS N - Sale of Plant Held'!$A$3:$U$35</definedName>
    <definedName name="_xlnm.Print_Area" localSheetId="21">'WS P Dep. Rates'!$A$1:$F$39</definedName>
    <definedName name="_xlnm.Print_Area" localSheetId="22">'WS Q Cap Structure'!$A$1:$J$239</definedName>
    <definedName name="_xlnm.Print_Area" localSheetId="23">'WS R Interest'!$A$1:$L$61</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 localSheetId="6">#REF!</definedName>
    <definedName name="PRVKW">#REF!</definedName>
    <definedName name="PRVKWH" localSheetId="6">#REF!</definedName>
    <definedName name="PRVKWH">#REF!</definedName>
    <definedName name="PRVMSRR" localSheetId="6">#REF!</definedName>
    <definedName name="PRVMSRR">#REF!</definedName>
    <definedName name="PRVPFCC" localSheetId="6">#REF!</definedName>
    <definedName name="PRVPFCC">#REF!</definedName>
    <definedName name="PSO_Proj_Allocators" localSheetId="6">#REF!</definedName>
    <definedName name="PSO_Proj_Allocators" localSheetId="13">#REF!</definedName>
    <definedName name="PSO_Proj_Allocators">#REF!</definedName>
    <definedName name="PSOallocatorsP" localSheetId="6">#REF!</definedName>
    <definedName name="PSOallocatorsP">#REF!</definedName>
    <definedName name="PVHIOFPCBL" localSheetId="6">#REF!</definedName>
    <definedName name="PVHIOFPCBL">#REF!</definedName>
    <definedName name="PVHIOPCBL" localSheetId="6">#REF!</definedName>
    <definedName name="PVHIOPCBL">#REF!</definedName>
    <definedName name="RatchetFactor" localSheetId="6">#REF!</definedName>
    <definedName name="RatchetFactor">#REF!</definedName>
    <definedName name="RCRDRID" localSheetId="6">#REF!</definedName>
    <definedName name="RCRDRID">#REF!</definedName>
    <definedName name="RCTVHRS" localSheetId="6">#REF!</definedName>
    <definedName name="RCTVHRS">#REF!</definedName>
    <definedName name="RDRBLK1C" localSheetId="6">#REF!</definedName>
    <definedName name="RDRBLK1C">#REF!</definedName>
    <definedName name="RDRBLK1Q" localSheetId="6">#REF!</definedName>
    <definedName name="RDRBLK1Q">#REF!</definedName>
    <definedName name="RDRBLK2C" localSheetId="6">#REF!</definedName>
    <definedName name="RDRBLK2C">#REF!</definedName>
    <definedName name="RDRBLK2Q" localSheetId="6">#REF!</definedName>
    <definedName name="RDRBLK2Q">#REF!</definedName>
    <definedName name="RDRBLK3C" localSheetId="6">#REF!</definedName>
    <definedName name="RDRBLK3C">#REF!</definedName>
    <definedName name="RDRBLK3Q" localSheetId="6">#REF!</definedName>
    <definedName name="RDRBLK3Q">#REF!</definedName>
    <definedName name="RDRBLKTC" localSheetId="6">#REF!</definedName>
    <definedName name="RDRBLKTC">#REF!</definedName>
    <definedName name="RDRBLKTC1" localSheetId="6">#REF!</definedName>
    <definedName name="RDRBLKTC1">#REF!</definedName>
    <definedName name="RDRBLKTC10" localSheetId="6">#REF!</definedName>
    <definedName name="RDRBLKTC10">#REF!</definedName>
    <definedName name="RDRBLKTC11" localSheetId="6">#REF!</definedName>
    <definedName name="RDRBLKTC11">#REF!</definedName>
    <definedName name="RDRBLKTC12" localSheetId="6">#REF!</definedName>
    <definedName name="RDRBLKTC12">#REF!</definedName>
    <definedName name="RDRBLKTC13" localSheetId="6">#REF!</definedName>
    <definedName name="RDRBLKTC13">#REF!</definedName>
    <definedName name="RDRBLKTC14" localSheetId="6">#REF!</definedName>
    <definedName name="RDRBLKTC14">#REF!</definedName>
    <definedName name="RDRBLKTC15" localSheetId="6">#REF!</definedName>
    <definedName name="RDRBLKTC15">#REF!</definedName>
    <definedName name="RDRBLKTC16" localSheetId="6">#REF!</definedName>
    <definedName name="RDRBLKTC16">#REF!</definedName>
    <definedName name="RDRBLKTC17" localSheetId="6">#REF!</definedName>
    <definedName name="RDRBLKTC17">#REF!</definedName>
    <definedName name="RDRBLKTC18" localSheetId="6">#REF!</definedName>
    <definedName name="RDRBLKTC18">#REF!</definedName>
    <definedName name="RDRBLKTC19" localSheetId="6">#REF!</definedName>
    <definedName name="RDRBLKTC19">#REF!</definedName>
    <definedName name="RDRBLKTC2" localSheetId="6">#REF!</definedName>
    <definedName name="RDRBLKTC2">#REF!</definedName>
    <definedName name="RDRBLKTC20" localSheetId="6">#REF!</definedName>
    <definedName name="RDRBLKTC20">#REF!</definedName>
    <definedName name="RDRBLKTC3" localSheetId="6">#REF!</definedName>
    <definedName name="RDRBLKTC3">#REF!</definedName>
    <definedName name="RDRBLKTC4" localSheetId="6">#REF!</definedName>
    <definedName name="RDRBLKTC4">#REF!</definedName>
    <definedName name="RDRBLKTC5" localSheetId="6">#REF!</definedName>
    <definedName name="RDRBLKTC5">#REF!</definedName>
    <definedName name="RDRBLKTC6" localSheetId="6">#REF!</definedName>
    <definedName name="RDRBLKTC6">#REF!</definedName>
    <definedName name="RDRBLKTC7" localSheetId="6">#REF!</definedName>
    <definedName name="RDRBLKTC7">#REF!</definedName>
    <definedName name="RDRBLKTC8" localSheetId="6">#REF!</definedName>
    <definedName name="RDRBLKTC8">#REF!</definedName>
    <definedName name="RDRBLKTC9" localSheetId="6">#REF!</definedName>
    <definedName name="RDRBLKTC9">#REF!</definedName>
    <definedName name="RDRBLKTQ" localSheetId="6">#REF!</definedName>
    <definedName name="RDRBLKTQ">#REF!</definedName>
    <definedName name="RDRCODE" localSheetId="6">#REF!</definedName>
    <definedName name="RDRCODE">#REF!</definedName>
    <definedName name="RDRCYCLE" localSheetId="6">#REF!</definedName>
    <definedName name="RDRCYCLE">#REF!</definedName>
    <definedName name="RDRDATE" localSheetId="6">#REF!</definedName>
    <definedName name="RDRDATE">#REF!</definedName>
    <definedName name="RDRNAME" localSheetId="6">#REF!</definedName>
    <definedName name="RDRNAME">#REF!</definedName>
    <definedName name="RDRRATEB" localSheetId="6">#REF!</definedName>
    <definedName name="RDRRATEB">#REF!</definedName>
    <definedName name="RDRRATEB1" localSheetId="6">#REF!</definedName>
    <definedName name="RDRRATEB1">#REF!</definedName>
    <definedName name="RDRRATEB10" localSheetId="6">#REF!</definedName>
    <definedName name="RDRRATEB10">#REF!</definedName>
    <definedName name="RDRRATEB11" localSheetId="6">#REF!</definedName>
    <definedName name="RDRRATEB11">#REF!</definedName>
    <definedName name="RDRRATEB12" localSheetId="6">#REF!</definedName>
    <definedName name="RDRRATEB12">#REF!</definedName>
    <definedName name="RDRRATEB13" localSheetId="6">#REF!</definedName>
    <definedName name="RDRRATEB13">#REF!</definedName>
    <definedName name="RDRRATEB14" localSheetId="6">#REF!</definedName>
    <definedName name="RDRRATEB14">#REF!</definedName>
    <definedName name="RDRRATEB15" localSheetId="6">#REF!</definedName>
    <definedName name="RDRRATEB15">#REF!</definedName>
    <definedName name="RDRRATEB16" localSheetId="6">#REF!</definedName>
    <definedName name="RDRRATEB16">#REF!</definedName>
    <definedName name="RDRRATEB17" localSheetId="6">#REF!</definedName>
    <definedName name="RDRRATEB17">#REF!</definedName>
    <definedName name="RDRRATEB18" localSheetId="6">#REF!</definedName>
    <definedName name="RDRRATEB18">#REF!</definedName>
    <definedName name="RDRRATEB19" localSheetId="6">#REF!</definedName>
    <definedName name="RDRRATEB19">#REF!</definedName>
    <definedName name="RDRRATEB2" localSheetId="6">#REF!</definedName>
    <definedName name="RDRRATEB2">#REF!</definedName>
    <definedName name="RDRRATEB20" localSheetId="6">#REF!</definedName>
    <definedName name="RDRRATEB20">#REF!</definedName>
    <definedName name="RDRRATEB3" localSheetId="6">#REF!</definedName>
    <definedName name="RDRRATEB3">#REF!</definedName>
    <definedName name="RDRRATEB4" localSheetId="6">#REF!</definedName>
    <definedName name="RDRRATEB4">#REF!</definedName>
    <definedName name="RDRRATEB5" localSheetId="6">#REF!</definedName>
    <definedName name="RDRRATEB5">#REF!</definedName>
    <definedName name="RDRRATEB6" localSheetId="6">#REF!</definedName>
    <definedName name="RDRRATEB6">#REF!</definedName>
    <definedName name="RDRRATEB7" localSheetId="6">#REF!</definedName>
    <definedName name="RDRRATEB7">#REF!</definedName>
    <definedName name="RDRRATEB8" localSheetId="6">#REF!</definedName>
    <definedName name="RDRRATEB8">#REF!</definedName>
    <definedName name="RDRRATEB9" localSheetId="6">#REF!</definedName>
    <definedName name="RDRRATEB9">#REF!</definedName>
    <definedName name="RDRRATED" localSheetId="6">#REF!</definedName>
    <definedName name="RDRRATED">#REF!</definedName>
    <definedName name="RDRRATED1" localSheetId="6">#REF!</definedName>
    <definedName name="RDRRATED1">#REF!</definedName>
    <definedName name="RDRRATED10" localSheetId="6">#REF!</definedName>
    <definedName name="RDRRATED10">#REF!</definedName>
    <definedName name="RDRRATED11" localSheetId="6">#REF!</definedName>
    <definedName name="RDRRATED11">#REF!</definedName>
    <definedName name="RDRRATED12" localSheetId="6">#REF!</definedName>
    <definedName name="RDRRATED12">#REF!</definedName>
    <definedName name="RDRRATED13" localSheetId="6">#REF!</definedName>
    <definedName name="RDRRATED13">#REF!</definedName>
    <definedName name="RDRRATED14" localSheetId="6">#REF!</definedName>
    <definedName name="RDRRATED14">#REF!</definedName>
    <definedName name="RDRRATED15" localSheetId="6">#REF!</definedName>
    <definedName name="RDRRATED15">#REF!</definedName>
    <definedName name="RDRRATED16" localSheetId="6">#REF!</definedName>
    <definedName name="RDRRATED16">#REF!</definedName>
    <definedName name="RDRRATED17" localSheetId="6">#REF!</definedName>
    <definedName name="RDRRATED17">#REF!</definedName>
    <definedName name="RDRRATED18" localSheetId="6">#REF!</definedName>
    <definedName name="RDRRATED18">#REF!</definedName>
    <definedName name="RDRRATED19" localSheetId="6">#REF!</definedName>
    <definedName name="RDRRATED19">#REF!</definedName>
    <definedName name="RDRRATED2" localSheetId="6">#REF!</definedName>
    <definedName name="RDRRATED2">#REF!</definedName>
    <definedName name="RDRRATED20" localSheetId="6">#REF!</definedName>
    <definedName name="RDRRATED20">#REF!</definedName>
    <definedName name="RDRRATED3" localSheetId="6">#REF!</definedName>
    <definedName name="RDRRATED3">#REF!</definedName>
    <definedName name="RDRRATED4" localSheetId="6">#REF!</definedName>
    <definedName name="RDRRATED4">#REF!</definedName>
    <definedName name="RDRRATED5" localSheetId="6">#REF!</definedName>
    <definedName name="RDRRATED5">#REF!</definedName>
    <definedName name="RDRRATED6" localSheetId="6">#REF!</definedName>
    <definedName name="RDRRATED6">#REF!</definedName>
    <definedName name="RDRRATED7" localSheetId="6">#REF!</definedName>
    <definedName name="RDRRATED7">#REF!</definedName>
    <definedName name="RDRRATED8" localSheetId="6">#REF!</definedName>
    <definedName name="RDRRATED8">#REF!</definedName>
    <definedName name="RDRRATED9" localSheetId="6">#REF!</definedName>
    <definedName name="RDRRATED9">#REF!</definedName>
    <definedName name="RDRRATEG" localSheetId="6">#REF!</definedName>
    <definedName name="RDRRATEG">#REF!</definedName>
    <definedName name="RDRRATEG1" localSheetId="6">#REF!</definedName>
    <definedName name="RDRRATEG1">#REF!</definedName>
    <definedName name="RDRRATEG10" localSheetId="6">#REF!</definedName>
    <definedName name="RDRRATEG10">#REF!</definedName>
    <definedName name="RDRRATEG11" localSheetId="6">#REF!</definedName>
    <definedName name="RDRRATEG11">#REF!</definedName>
    <definedName name="RDRRATEG12" localSheetId="6">#REF!</definedName>
    <definedName name="RDRRATEG12">#REF!</definedName>
    <definedName name="RDRRATEG13" localSheetId="6">#REF!</definedName>
    <definedName name="RDRRATEG13">#REF!</definedName>
    <definedName name="RDRRATEG14" localSheetId="6">#REF!</definedName>
    <definedName name="RDRRATEG14">#REF!</definedName>
    <definedName name="RDRRATEG15" localSheetId="6">#REF!</definedName>
    <definedName name="RDRRATEG15">#REF!</definedName>
    <definedName name="RDRRATEG16" localSheetId="6">#REF!</definedName>
    <definedName name="RDRRATEG16">#REF!</definedName>
    <definedName name="RDRRATEG17" localSheetId="6">#REF!</definedName>
    <definedName name="RDRRATEG17">#REF!</definedName>
    <definedName name="RDRRATEG18" localSheetId="6">#REF!</definedName>
    <definedName name="RDRRATEG18">#REF!</definedName>
    <definedName name="RDRRATEG19" localSheetId="6">#REF!</definedName>
    <definedName name="RDRRATEG19">#REF!</definedName>
    <definedName name="RDRRATEG2" localSheetId="6">#REF!</definedName>
    <definedName name="RDRRATEG2">#REF!</definedName>
    <definedName name="RDRRATEG20" localSheetId="6">#REF!</definedName>
    <definedName name="RDRRATEG20">#REF!</definedName>
    <definedName name="RDRRATEG3" localSheetId="6">#REF!</definedName>
    <definedName name="RDRRATEG3">#REF!</definedName>
    <definedName name="RDRRATEG4" localSheetId="6">#REF!</definedName>
    <definedName name="RDRRATEG4">#REF!</definedName>
    <definedName name="RDRRATEG5" localSheetId="6">#REF!</definedName>
    <definedName name="RDRRATEG5">#REF!</definedName>
    <definedName name="RDRRATEG6" localSheetId="6">#REF!</definedName>
    <definedName name="RDRRATEG6">#REF!</definedName>
    <definedName name="RDRRATEG7" localSheetId="6">#REF!</definedName>
    <definedName name="RDRRATEG7">#REF!</definedName>
    <definedName name="RDRRATEG8" localSheetId="6">#REF!</definedName>
    <definedName name="RDRRATEG8">#REF!</definedName>
    <definedName name="RDRRATEG9" localSheetId="6">#REF!</definedName>
    <definedName name="RDRRATEG9">#REF!</definedName>
    <definedName name="RDRRATET" localSheetId="6">#REF!</definedName>
    <definedName name="RDRRATET">#REF!</definedName>
    <definedName name="RDRRATET1" localSheetId="6">#REF!</definedName>
    <definedName name="RDRRATET1">#REF!</definedName>
    <definedName name="RDRRATET10" localSheetId="6">#REF!</definedName>
    <definedName name="RDRRATET10">#REF!</definedName>
    <definedName name="RDRRATET11" localSheetId="6">#REF!</definedName>
    <definedName name="RDRRATET11">#REF!</definedName>
    <definedName name="RDRRATET12" localSheetId="6">#REF!</definedName>
    <definedName name="RDRRATET12">#REF!</definedName>
    <definedName name="RDRRATET13" localSheetId="6">#REF!</definedName>
    <definedName name="RDRRATET13">#REF!</definedName>
    <definedName name="RDRRATET14" localSheetId="6">#REF!</definedName>
    <definedName name="RDRRATET14">#REF!</definedName>
    <definedName name="RDRRATET15" localSheetId="6">#REF!</definedName>
    <definedName name="RDRRATET15">#REF!</definedName>
    <definedName name="RDRRATET16" localSheetId="6">#REF!</definedName>
    <definedName name="RDRRATET16">#REF!</definedName>
    <definedName name="RDRRATET17" localSheetId="6">#REF!</definedName>
    <definedName name="RDRRATET17">#REF!</definedName>
    <definedName name="RDRRATET18" localSheetId="6">#REF!</definedName>
    <definedName name="RDRRATET18">#REF!</definedName>
    <definedName name="RDRRATET19" localSheetId="6">#REF!</definedName>
    <definedName name="RDRRATET19">#REF!</definedName>
    <definedName name="RDRRATET2" localSheetId="6">#REF!</definedName>
    <definedName name="RDRRATET2">#REF!</definedName>
    <definedName name="RDRRATET20" localSheetId="6">#REF!</definedName>
    <definedName name="RDRRATET20">#REF!</definedName>
    <definedName name="RDRRATET3" localSheetId="6">#REF!</definedName>
    <definedName name="RDRRATET3">#REF!</definedName>
    <definedName name="RDRRATET4" localSheetId="6">#REF!</definedName>
    <definedName name="RDRRATET4">#REF!</definedName>
    <definedName name="RDRRATET5" localSheetId="6">#REF!</definedName>
    <definedName name="RDRRATET5">#REF!</definedName>
    <definedName name="RDRRATET6" localSheetId="6">#REF!</definedName>
    <definedName name="RDRRATET6">#REF!</definedName>
    <definedName name="RDRRATET7" localSheetId="6">#REF!</definedName>
    <definedName name="RDRRATET7">#REF!</definedName>
    <definedName name="RDRRATET8" localSheetId="6">#REF!</definedName>
    <definedName name="RDRRATET8">#REF!</definedName>
    <definedName name="RDRRATET9" localSheetId="6">#REF!</definedName>
    <definedName name="RDRRATET9">#REF!</definedName>
    <definedName name="RDRTYPE" localSheetId="6">#REF!</definedName>
    <definedName name="RDRTYPE">#REF!</definedName>
    <definedName name="RDRUNITS" localSheetId="6">#REF!</definedName>
    <definedName name="RDRUNITS">#REF!</definedName>
    <definedName name="_xlnm.Recorder" localSheetId="6">#REF!</definedName>
    <definedName name="_xlnm.Recorder">#REF!</definedName>
    <definedName name="Reserved_Section" localSheetId="6">#REF!</definedName>
    <definedName name="Reserved_Section">#REF!</definedName>
    <definedName name="RIDERS" localSheetId="6">#REF!</definedName>
    <definedName name="RIDERS">#REF!</definedName>
    <definedName name="RKVAHRDNG" localSheetId="6">#REF!</definedName>
    <definedName name="RKVAHRDNG">#REF!</definedName>
    <definedName name="RTCHTCNTRCTCPCT" localSheetId="6">#REF!</definedName>
    <definedName name="RTCHTCNTRCTCPCT">#REF!</definedName>
    <definedName name="RTCHTFCTR" localSheetId="6">#REF!</definedName>
    <definedName name="RTCHTFCTR">#REF!</definedName>
    <definedName name="RTCHTFCTR2" localSheetId="6">#REF!</definedName>
    <definedName name="RTCHTFCTR2">#REF!</definedName>
    <definedName name="RTCHTHIPREVKW" localSheetId="6">#REF!</definedName>
    <definedName name="RTCHTHIPREVKW">#REF!</definedName>
    <definedName name="RTP_Detail" localSheetId="6">#REF!</definedName>
    <definedName name="RTP_Detail">#REF!</definedName>
    <definedName name="RTPLRKW" localSheetId="6">#REF!</definedName>
    <definedName name="RTPLRKW">#REF!</definedName>
    <definedName name="SDI" localSheetId="6">#REF!</definedName>
    <definedName name="SDI">#REF!</definedName>
    <definedName name="SHLDRPKKW" localSheetId="6">#REF!</definedName>
    <definedName name="SHLDRPKKW">#REF!</definedName>
    <definedName name="SHLDRPKKWDT" localSheetId="6">#REF!</definedName>
    <definedName name="SHLDRPKKWDT">#REF!</definedName>
    <definedName name="SHLDRPKKWTM" localSheetId="6">#REF!</definedName>
    <definedName name="SHLDRPKKWTM">#REF!</definedName>
    <definedName name="SHRDTRNSKWH" localSheetId="6">#REF!</definedName>
    <definedName name="SHRDTRNSKWH">#REF!</definedName>
    <definedName name="SRPLSKWH" localSheetId="6">#REF!</definedName>
    <definedName name="SRPLSKWH">#REF!</definedName>
    <definedName name="STARTDTM" localSheetId="6">#REF!</definedName>
    <definedName name="STARTDTM">#REF!</definedName>
    <definedName name="State" localSheetId="6">#REF!</definedName>
    <definedName name="State">#REF!</definedName>
    <definedName name="STDKW" localSheetId="6">#REF!</definedName>
    <definedName name="STDKW">#REF!</definedName>
    <definedName name="STDKWDT" localSheetId="6">#REF!</definedName>
    <definedName name="STDKWDT">#REF!</definedName>
    <definedName name="STDKWTM" localSheetId="6">#REF!</definedName>
    <definedName name="STDKWTM">#REF!</definedName>
    <definedName name="STRTTIME" localSheetId="6">#REF!</definedName>
    <definedName name="STRTTIME">#REF!</definedName>
    <definedName name="SWP_Proj_Allocators" localSheetId="6">#REF!</definedName>
    <definedName name="SWP_Proj_Allocators">#REF!</definedName>
    <definedName name="SWPallocatorsH" localSheetId="6">#REF!</definedName>
    <definedName name="SWPallocatorsH">#REF!</definedName>
    <definedName name="SWPallocatorsP" localSheetId="6">#REF!</definedName>
    <definedName name="SWPallocatorsP">#REF!</definedName>
    <definedName name="SYSPKKW" localSheetId="6">#REF!</definedName>
    <definedName name="SYSPKKW">#REF!</definedName>
    <definedName name="SYSPKKWDT" localSheetId="6">#REF!</definedName>
    <definedName name="SYSPKKWDT">#REF!</definedName>
    <definedName name="SYSPKKWTM" localSheetId="6">#REF!</definedName>
    <definedName name="SYSPKKWTM">#REF!</definedName>
    <definedName name="TARIFF1" localSheetId="6">#REF!</definedName>
    <definedName name="TARIFF1">#REF!</definedName>
    <definedName name="TARIFF2" localSheetId="6">#REF!</definedName>
    <definedName name="TARIFF2">#REF!</definedName>
    <definedName name="TariffCode" localSheetId="6">#REF!</definedName>
    <definedName name="TariffCode">#REF!</definedName>
    <definedName name="TariffLongName" localSheetId="6">#REF!</definedName>
    <definedName name="TariffLongName">#REF!</definedName>
    <definedName name="TariffShortName" localSheetId="6">#REF!</definedName>
    <definedName name="TariffShortName">#REF!</definedName>
    <definedName name="TAXDATE" localSheetId="6">#REF!</definedName>
    <definedName name="TAXDATE">#REF!</definedName>
    <definedName name="TAXES" localSheetId="6">#REF!</definedName>
    <definedName name="TAXES">#REF!</definedName>
    <definedName name="TAXNAME" localSheetId="6">#REF!</definedName>
    <definedName name="TAXNAME">#REF!</definedName>
    <definedName name="TAXRATE" localSheetId="6">#REF!</definedName>
    <definedName name="TAXRATE">#REF!</definedName>
    <definedName name="TAXTYPE" localSheetId="6">#REF!</definedName>
    <definedName name="TAXTYPE">#REF!</definedName>
    <definedName name="TCst" localSheetId="6">#REF!</definedName>
    <definedName name="TCst">#REF!</definedName>
    <definedName name="TCst1" localSheetId="6">#REF!</definedName>
    <definedName name="TCst1">#REF!</definedName>
    <definedName name="TIRPCCHG" localSheetId="6">#REF!</definedName>
    <definedName name="TIRPCCHG">#REF!</definedName>
    <definedName name="TIRPDCHG1" localSheetId="6">#REF!</definedName>
    <definedName name="TIRPDCHG1">#REF!</definedName>
    <definedName name="TIRPDCHG2" localSheetId="6">#REF!</definedName>
    <definedName name="TIRPDCHG2">#REF!</definedName>
    <definedName name="TIRPECHG1" localSheetId="6">#REF!</definedName>
    <definedName name="TIRPECHG1">#REF!</definedName>
    <definedName name="TIRPECHGB1" localSheetId="6">#REF!</definedName>
    <definedName name="TIRPECHGB1">#REF!</definedName>
    <definedName name="TIRPECHGB2" localSheetId="6">#REF!</definedName>
    <definedName name="TIRPECHGB2">#REF!</definedName>
    <definedName name="TIRPECHGB3" localSheetId="6">#REF!</definedName>
    <definedName name="TIRPECHGB3">#REF!</definedName>
    <definedName name="TIRPMECHG1" localSheetId="6">#REF!</definedName>
    <definedName name="TIRPMECHG1">#REF!</definedName>
    <definedName name="TIRPMINDC" localSheetId="6">#REF!</definedName>
    <definedName name="TIRPMINDC">#REF!</definedName>
    <definedName name="TIRPMINEC" localSheetId="6">#REF!</definedName>
    <definedName name="TIRPMINEC">#REF!</definedName>
    <definedName name="TIRPOFKVA" localSheetId="6">#REF!</definedName>
    <definedName name="TIRPOFKVA">#REF!</definedName>
    <definedName name="TIRPOFKW" localSheetId="6">#REF!</definedName>
    <definedName name="TIRPOFKW">#REF!</definedName>
    <definedName name="TIRPOFKWH" localSheetId="6">#REF!</definedName>
    <definedName name="TIRPOFKWH">#REF!</definedName>
    <definedName name="TIRPOPKWH" localSheetId="6">#REF!</definedName>
    <definedName name="TIRPOPKWH">#REF!</definedName>
    <definedName name="TIRPP1EC" localSheetId="6">#REF!</definedName>
    <definedName name="TIRPP1EC">#REF!</definedName>
    <definedName name="TIRPP2EC" localSheetId="6">#REF!</definedName>
    <definedName name="TIRPP2EC">#REF!</definedName>
    <definedName name="TIRPP3EC" localSheetId="6">#REF!</definedName>
    <definedName name="TIRPP3EC">#REF!</definedName>
    <definedName name="TIRPP4EC" localSheetId="6">#REF!</definedName>
    <definedName name="TIRPP4EC">#REF!</definedName>
    <definedName name="TIRPP5EC" localSheetId="6">#REF!</definedName>
    <definedName name="TIRPP5EC">#REF!</definedName>
    <definedName name="TIRPRCHG" localSheetId="6">#REF!</definedName>
    <definedName name="TIRPRCHG">#REF!</definedName>
    <definedName name="TLsFctr" localSheetId="6">#REF!</definedName>
    <definedName name="TLsFctr">#REF!</definedName>
    <definedName name="TRCRDKWH" localSheetId="6">#REF!</definedName>
    <definedName name="TRCRDKWH">#REF!</definedName>
    <definedName name="TRCRDKWH2P" localSheetId="6">#REF!</definedName>
    <definedName name="TRCRDKWH2P">#REF!</definedName>
    <definedName name="TRFDATE1" localSheetId="6">#REF!</definedName>
    <definedName name="TRFDATE1">#REF!</definedName>
    <definedName name="TRFDATE2" localSheetId="6">#REF!</definedName>
    <definedName name="TRFDATE2">#REF!</definedName>
    <definedName name="TRFNAME1" localSheetId="6">#REF!</definedName>
    <definedName name="TRFNAME1">#REF!</definedName>
    <definedName name="TRFNAME2" localSheetId="6">#REF!</definedName>
    <definedName name="TRFNAME2">#REF!</definedName>
    <definedName name="TRFSHORTNM1" localSheetId="6">#REF!</definedName>
    <definedName name="TRFSHORTNM1">#REF!</definedName>
    <definedName name="TRFSHORTNM2" localSheetId="6">#REF!</definedName>
    <definedName name="TRFSHORTNM2">#REF!</definedName>
    <definedName name="TrnBlkKwhChg1" localSheetId="6">#REF!</definedName>
    <definedName name="TrnBlkKwhChg1">#REF!</definedName>
    <definedName name="TrnBlkKwhChg2" localSheetId="6">#REF!</definedName>
    <definedName name="TrnBlkKwhChg2">#REF!</definedName>
    <definedName name="TrnBlkKwhChg3" localSheetId="6">#REF!</definedName>
    <definedName name="TrnBlkKwhChg3">#REF!</definedName>
    <definedName name="TrnBlkKwhChgT" localSheetId="6">#REF!</definedName>
    <definedName name="TrnBlkKwhChgT">#REF!</definedName>
    <definedName name="TRNCCHG" localSheetId="6">#REF!</definedName>
    <definedName name="TRNCCHG">#REF!</definedName>
    <definedName name="TrnCustChg" localSheetId="6">#REF!</definedName>
    <definedName name="TrnCustChg">#REF!</definedName>
    <definedName name="TRNDCHG1" localSheetId="6">#REF!</definedName>
    <definedName name="TRNDCHG1">#REF!</definedName>
    <definedName name="TRNDCHG2" localSheetId="6">#REF!</definedName>
    <definedName name="TRNDCHG2">#REF!</definedName>
    <definedName name="TrnDmdChg1" localSheetId="6">#REF!</definedName>
    <definedName name="TrnDmdChg1">#REF!</definedName>
    <definedName name="TrnDmdChg2" localSheetId="6">#REF!</definedName>
    <definedName name="TrnDmdChg2">#REF!</definedName>
    <definedName name="TRNECHG1" localSheetId="6">#REF!</definedName>
    <definedName name="TRNECHG1">#REF!</definedName>
    <definedName name="TRNECHGB1" localSheetId="6">#REF!</definedName>
    <definedName name="TRNECHGB1">#REF!</definedName>
    <definedName name="TRNECHGB2" localSheetId="6">#REF!</definedName>
    <definedName name="TRNECHGB2">#REF!</definedName>
    <definedName name="TRNECHGB3" localSheetId="6">#REF!</definedName>
    <definedName name="TRNECHGB3">#REF!</definedName>
    <definedName name="TrnMEChg" localSheetId="6">#REF!</definedName>
    <definedName name="TrnMEChg">#REF!</definedName>
    <definedName name="TRNMECHG1" localSheetId="6">#REF!</definedName>
    <definedName name="TRNMECHG1">#REF!</definedName>
    <definedName name="TRNMINDC" localSheetId="6">#REF!</definedName>
    <definedName name="TRNMINDC">#REF!</definedName>
    <definedName name="TrnMinDChg" localSheetId="6">#REF!</definedName>
    <definedName name="TrnMinDChg">#REF!</definedName>
    <definedName name="TRNMINEC" localSheetId="6">#REF!</definedName>
    <definedName name="TRNMINEC">#REF!</definedName>
    <definedName name="TrnMinEChg" localSheetId="6">#REF!</definedName>
    <definedName name="TrnMinEChg">#REF!</definedName>
    <definedName name="TrnOffPkKwh" localSheetId="6">#REF!</definedName>
    <definedName name="TrnOffPkKwh">#REF!</definedName>
    <definedName name="TRNOFKWH" localSheetId="6">#REF!</definedName>
    <definedName name="TRNOFKWH">#REF!</definedName>
    <definedName name="TrnOnPkKwh" localSheetId="6">#REF!</definedName>
    <definedName name="TrnOnPkKwh">#REF!</definedName>
    <definedName name="TRNOPKWH" localSheetId="6">#REF!</definedName>
    <definedName name="TRNOPKWH">#REF!</definedName>
    <definedName name="TRNP1EC" localSheetId="6">#REF!</definedName>
    <definedName name="TRNP1EC">#REF!</definedName>
    <definedName name="TRNP2EC" localSheetId="6">#REF!</definedName>
    <definedName name="TRNP2EC">#REF!</definedName>
    <definedName name="TRNP3EC" localSheetId="6">#REF!</definedName>
    <definedName name="TRNP3EC">#REF!</definedName>
    <definedName name="TRNP4EC" localSheetId="6">#REF!</definedName>
    <definedName name="TRNP4EC">#REF!</definedName>
    <definedName name="TRNP5EC" localSheetId="6">#REF!</definedName>
    <definedName name="TRNP5EC">#REF!</definedName>
    <definedName name="TrnPL1Chg" localSheetId="6">#REF!</definedName>
    <definedName name="TrnPL1Chg">#REF!</definedName>
    <definedName name="TrnPL2Chg" localSheetId="6">#REF!</definedName>
    <definedName name="TrnPL2Chg">#REF!</definedName>
    <definedName name="TrnPL3Chg" localSheetId="6">#REF!</definedName>
    <definedName name="TrnPL3Chg">#REF!</definedName>
    <definedName name="TrnPL4Chg" localSheetId="6">#REF!</definedName>
    <definedName name="TrnPL4Chg">#REF!</definedName>
    <definedName name="TrnPL5Chg" localSheetId="6">#REF!</definedName>
    <definedName name="TrnPL5Chg">#REF!</definedName>
    <definedName name="TRNRCHG" localSheetId="6">#REF!</definedName>
    <definedName name="TRNRCHG">#REF!</definedName>
    <definedName name="TrnReactiveChg" localSheetId="6">#REF!</definedName>
    <definedName name="TrnReactiveChg">#REF!</definedName>
    <definedName name="TRNSKWTOFPK" localSheetId="6">#REF!</definedName>
    <definedName name="TRNSKWTOFPK">#REF!</definedName>
    <definedName name="TRNSKWTONPK" localSheetId="6">#REF!</definedName>
    <definedName name="TRNSKWTONPK">#REF!</definedName>
    <definedName name="TRNXOFKVA" localSheetId="6">#REF!</definedName>
    <definedName name="TRNXOFKVA">#REF!</definedName>
    <definedName name="TRNXOFKW" localSheetId="6">#REF!</definedName>
    <definedName name="TRNXOFKW">#REF!</definedName>
    <definedName name="TrnXOfpKvaChg" localSheetId="6">#REF!</definedName>
    <definedName name="TrnXOfpKvaChg">#REF!</definedName>
    <definedName name="TrnXOfpKwChg" localSheetId="6">#REF!</definedName>
    <definedName name="TrnXOfpKwChg">#REF!</definedName>
    <definedName name="TTLBSRATETTL" localSheetId="6">#REF!</definedName>
    <definedName name="TTLBSRATETTL">#REF!</definedName>
    <definedName name="TTLCOGENKWH" localSheetId="6">#REF!</definedName>
    <definedName name="TTLCOGENKWH">#REF!</definedName>
    <definedName name="UNBUNDIND" localSheetId="6">#REF!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 localSheetId="6">#REF!</definedName>
    <definedName name="Zip">#REF!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40" l="1"/>
  <c r="F20" i="43" l="1"/>
  <c r="D20" i="43"/>
  <c r="O15" i="43"/>
  <c r="L15" i="43"/>
  <c r="H15" i="43"/>
  <c r="A15" i="43"/>
  <c r="A18" i="43" s="1"/>
  <c r="A20" i="43" s="1"/>
  <c r="J13" i="43"/>
  <c r="L13" i="43" s="1"/>
  <c r="O13" i="43" s="1"/>
  <c r="H13" i="43"/>
  <c r="J18" i="43" l="1"/>
  <c r="L18" i="43" s="1"/>
  <c r="L20" i="43" s="1"/>
  <c r="J20" i="43"/>
  <c r="O18" i="43"/>
  <c r="O20" i="43" s="1"/>
  <c r="B8" i="35" l="1"/>
  <c r="B8" i="41"/>
  <c r="E69" i="9" l="1"/>
  <c r="K17" i="8"/>
  <c r="I65" i="6"/>
  <c r="K65" i="6" s="1"/>
  <c r="E65" i="6" s="1"/>
  <c r="I64" i="6"/>
  <c r="K64" i="6" s="1"/>
  <c r="E64" i="6" s="1"/>
  <c r="I63" i="6"/>
  <c r="K63" i="6" s="1"/>
  <c r="E63" i="6" s="1"/>
  <c r="K26" i="37"/>
  <c r="I26" i="37"/>
  <c r="C26" i="37"/>
  <c r="K59" i="36"/>
  <c r="J59" i="36"/>
  <c r="I59" i="36"/>
  <c r="D59" i="36"/>
  <c r="F60" i="36" s="1"/>
  <c r="D60" i="36" s="1"/>
  <c r="C59" i="36"/>
  <c r="K44" i="36"/>
  <c r="J44" i="36"/>
  <c r="I44" i="36"/>
  <c r="D44" i="36"/>
  <c r="F45" i="36" s="1"/>
  <c r="D45" i="36" s="1"/>
  <c r="C44" i="36"/>
  <c r="N69" i="36"/>
  <c r="N51" i="36"/>
  <c r="G59" i="36" l="1"/>
  <c r="G44" i="36"/>
  <c r="E27" i="37"/>
  <c r="C27" i="37" s="1"/>
  <c r="E60" i="36"/>
  <c r="C60" i="36" s="1"/>
  <c r="G60" i="36" s="1"/>
  <c r="E45" i="36"/>
  <c r="C45" i="36" s="1"/>
  <c r="G45" i="36" s="1"/>
  <c r="D48" i="38" l="1"/>
  <c r="C48" i="38"/>
  <c r="A19" i="9" l="1"/>
  <c r="A20" i="9" s="1"/>
  <c r="A21" i="9" s="1"/>
  <c r="A24" i="9" s="1"/>
  <c r="A25" i="9" s="1"/>
  <c r="A26" i="9" s="1"/>
  <c r="A27" i="9" s="1"/>
  <c r="A28" i="9" s="1"/>
  <c r="A29" i="9" s="1"/>
  <c r="A30" i="9" s="1"/>
  <c r="A31" i="9" s="1"/>
  <c r="A32" i="9" s="1"/>
  <c r="A33" i="9" s="1"/>
  <c r="A36" i="9" s="1"/>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A67" i="9" s="1"/>
  <c r="D21" i="9"/>
  <c r="D33" i="9"/>
  <c r="E36" i="9"/>
  <c r="E37" i="9"/>
  <c r="E38" i="9"/>
  <c r="F39" i="9"/>
  <c r="F44" i="9" s="1"/>
  <c r="D44" i="9"/>
  <c r="E47" i="9"/>
  <c r="E48" i="9"/>
  <c r="E49" i="9"/>
  <c r="E50" i="9"/>
  <c r="E51" i="9"/>
  <c r="E52" i="9"/>
  <c r="D64" i="9"/>
  <c r="F64" i="9"/>
  <c r="L43" i="2"/>
  <c r="L42" i="2"/>
  <c r="A68" i="9" l="1"/>
  <c r="A69" i="9" s="1"/>
  <c r="A70" i="9" s="1"/>
  <c r="A71" i="9" s="1"/>
  <c r="A73" i="9" s="1"/>
  <c r="E64" i="9"/>
  <c r="E44" i="9"/>
  <c r="E71" i="9" l="1"/>
  <c r="F70" i="9"/>
  <c r="C63" i="36" l="1"/>
  <c r="C62" i="36"/>
  <c r="K40" i="36"/>
  <c r="J40" i="36"/>
  <c r="I40" i="36"/>
  <c r="D40" i="36"/>
  <c r="C40" i="36"/>
  <c r="G40" i="36" l="1"/>
  <c r="C39" i="41"/>
  <c r="C40" i="41" s="1"/>
  <c r="C41" i="41" s="1"/>
  <c r="C42" i="41" s="1"/>
  <c r="C43" i="41" s="1"/>
  <c r="C44" i="41" s="1"/>
  <c r="C45" i="41" s="1"/>
  <c r="C46" i="41" s="1"/>
  <c r="C47" i="41" s="1"/>
  <c r="C48" i="41" s="1"/>
  <c r="C49" i="41" s="1"/>
  <c r="C50" i="41" s="1"/>
  <c r="C36" i="41"/>
  <c r="C21" i="41"/>
  <c r="C22" i="41" s="1"/>
  <c r="C23" i="41" s="1"/>
  <c r="C24" i="41" s="1"/>
  <c r="C25" i="41" s="1"/>
  <c r="C26" i="41" s="1"/>
  <c r="C27" i="41" s="1"/>
  <c r="C28" i="41" s="1"/>
  <c r="C29" i="41" s="1"/>
  <c r="C30" i="41" s="1"/>
  <c r="C31" i="41" s="1"/>
  <c r="C32" i="41" s="1"/>
  <c r="C39" i="35"/>
  <c r="C40" i="35" s="1"/>
  <c r="C41" i="35" s="1"/>
  <c r="C42" i="35" s="1"/>
  <c r="C43" i="35" s="1"/>
  <c r="C44" i="35" s="1"/>
  <c r="C45" i="35" s="1"/>
  <c r="C46" i="35" s="1"/>
  <c r="C47" i="35" s="1"/>
  <c r="C48" i="35" s="1"/>
  <c r="C49" i="35" s="1"/>
  <c r="C50" i="35" s="1"/>
  <c r="C36" i="35"/>
  <c r="C21" i="35"/>
  <c r="C22" i="35" s="1"/>
  <c r="C23" i="35" s="1"/>
  <c r="C24" i="35" s="1"/>
  <c r="C25" i="35" s="1"/>
  <c r="C26" i="35" s="1"/>
  <c r="C27" i="35" s="1"/>
  <c r="C28" i="35" s="1"/>
  <c r="C29" i="35" s="1"/>
  <c r="C30" i="35" s="1"/>
  <c r="C31" i="35" s="1"/>
  <c r="C32" i="35" s="1"/>
  <c r="G42" i="5" l="1"/>
  <c r="E42" i="5"/>
  <c r="G34" i="5"/>
  <c r="E34" i="5"/>
  <c r="G26" i="5"/>
  <c r="E26" i="5"/>
  <c r="G18" i="5"/>
  <c r="E18" i="5" l="1"/>
  <c r="J876" i="13"/>
  <c r="J789" i="13"/>
  <c r="J702" i="13"/>
  <c r="L696" i="13" s="1"/>
  <c r="J615" i="13"/>
  <c r="L609" i="13" s="1"/>
  <c r="J528" i="13"/>
  <c r="L522" i="13" s="1"/>
  <c r="J441" i="13"/>
  <c r="J354" i="13"/>
  <c r="M349" i="13" s="1"/>
  <c r="J267" i="13"/>
  <c r="M262" i="13" s="1"/>
  <c r="J180" i="13"/>
  <c r="L174" i="13" s="1"/>
  <c r="O27" i="42"/>
  <c r="N27" i="42"/>
  <c r="L27" i="42"/>
  <c r="K27" i="42"/>
  <c r="J27" i="42"/>
  <c r="I27" i="42"/>
  <c r="B27" i="42"/>
  <c r="P24" i="42"/>
  <c r="M27" i="42"/>
  <c r="P23" i="42"/>
  <c r="P19" i="42"/>
  <c r="Q18" i="42"/>
  <c r="P17" i="42"/>
  <c r="P16" i="42"/>
  <c r="Q15" i="42"/>
  <c r="Q14" i="42"/>
  <c r="P13" i="42"/>
  <c r="C23" i="37"/>
  <c r="D23" i="37"/>
  <c r="I23" i="37"/>
  <c r="J23" i="37"/>
  <c r="K23" i="37"/>
  <c r="C29" i="36"/>
  <c r="D29" i="36"/>
  <c r="I29" i="36"/>
  <c r="J29" i="36"/>
  <c r="K29" i="36"/>
  <c r="C30" i="36"/>
  <c r="D30" i="36"/>
  <c r="I30" i="36"/>
  <c r="J30" i="36"/>
  <c r="K30" i="36"/>
  <c r="C31" i="36"/>
  <c r="D31" i="36"/>
  <c r="I31" i="36"/>
  <c r="J31" i="36"/>
  <c r="K31" i="36"/>
  <c r="C32" i="36"/>
  <c r="D32" i="36"/>
  <c r="I32" i="36"/>
  <c r="J32" i="36"/>
  <c r="K32" i="36"/>
  <c r="C33" i="36"/>
  <c r="D33" i="36"/>
  <c r="I33" i="36"/>
  <c r="J33" i="36"/>
  <c r="K33" i="36"/>
  <c r="D63" i="36"/>
  <c r="G63" i="36" s="1"/>
  <c r="D62" i="36"/>
  <c r="C29" i="37"/>
  <c r="D29" i="37"/>
  <c r="C30" i="37"/>
  <c r="D30" i="37"/>
  <c r="C31" i="37"/>
  <c r="D31" i="37"/>
  <c r="C32" i="37"/>
  <c r="D32" i="37"/>
  <c r="C33" i="37"/>
  <c r="D33" i="37"/>
  <c r="D28" i="37"/>
  <c r="C28" i="37"/>
  <c r="K48" i="36"/>
  <c r="J48" i="36"/>
  <c r="I48" i="36"/>
  <c r="D48" i="36"/>
  <c r="C48" i="36"/>
  <c r="K47" i="36"/>
  <c r="J47" i="36"/>
  <c r="I47" i="36"/>
  <c r="D47" i="36"/>
  <c r="C47" i="36"/>
  <c r="K46" i="36"/>
  <c r="J46" i="36"/>
  <c r="I46" i="36"/>
  <c r="D46" i="36"/>
  <c r="C46" i="36"/>
  <c r="O942" i="13"/>
  <c r="M942" i="13"/>
  <c r="O941" i="13"/>
  <c r="M941" i="13"/>
  <c r="O940" i="13"/>
  <c r="M940" i="13"/>
  <c r="O939" i="13"/>
  <c r="M939" i="13"/>
  <c r="O938" i="13"/>
  <c r="M938" i="13"/>
  <c r="O937" i="13"/>
  <c r="M937" i="13"/>
  <c r="O936" i="13"/>
  <c r="M936" i="13"/>
  <c r="O935" i="13"/>
  <c r="M935" i="13"/>
  <c r="O934" i="13"/>
  <c r="M934" i="13"/>
  <c r="O933" i="13"/>
  <c r="M933" i="13"/>
  <c r="O932" i="13"/>
  <c r="M932" i="13"/>
  <c r="O931" i="13"/>
  <c r="M931" i="13"/>
  <c r="O930" i="13"/>
  <c r="M930" i="13"/>
  <c r="O929" i="13"/>
  <c r="M929" i="13"/>
  <c r="O928" i="13"/>
  <c r="M928" i="13"/>
  <c r="O927" i="13"/>
  <c r="M927" i="13"/>
  <c r="O926" i="13"/>
  <c r="M926" i="13"/>
  <c r="O925" i="13"/>
  <c r="M925" i="13"/>
  <c r="O924" i="13"/>
  <c r="M924" i="13"/>
  <c r="O923" i="13"/>
  <c r="M923" i="13"/>
  <c r="O922" i="13"/>
  <c r="M922" i="13"/>
  <c r="O921" i="13"/>
  <c r="M921" i="13"/>
  <c r="O920" i="13"/>
  <c r="M920" i="13"/>
  <c r="O919" i="13"/>
  <c r="M919" i="13"/>
  <c r="O918" i="13"/>
  <c r="M918" i="13"/>
  <c r="O917" i="13"/>
  <c r="M917" i="13"/>
  <c r="O916" i="13"/>
  <c r="M916" i="13"/>
  <c r="O915" i="13"/>
  <c r="M915" i="13"/>
  <c r="O914" i="13"/>
  <c r="M914" i="13"/>
  <c r="O913" i="13"/>
  <c r="M913" i="13"/>
  <c r="O912" i="13"/>
  <c r="M912" i="13"/>
  <c r="O911" i="13"/>
  <c r="M911" i="13"/>
  <c r="O910" i="13"/>
  <c r="M910" i="13"/>
  <c r="O909" i="13"/>
  <c r="M909" i="13"/>
  <c r="O908" i="13"/>
  <c r="M908" i="13"/>
  <c r="O907" i="13"/>
  <c r="M907" i="13"/>
  <c r="O906" i="13"/>
  <c r="M906" i="13"/>
  <c r="O905" i="13"/>
  <c r="M905" i="13"/>
  <c r="O904" i="13"/>
  <c r="M904" i="13"/>
  <c r="O903" i="13"/>
  <c r="M903" i="13"/>
  <c r="O902" i="13"/>
  <c r="M902" i="13"/>
  <c r="O901" i="13"/>
  <c r="M901" i="13"/>
  <c r="O900" i="13"/>
  <c r="M900" i="13"/>
  <c r="O899" i="13"/>
  <c r="M899" i="13"/>
  <c r="O898" i="13"/>
  <c r="M898" i="13"/>
  <c r="O897" i="13"/>
  <c r="M897" i="13"/>
  <c r="O896" i="13"/>
  <c r="M896" i="13"/>
  <c r="O895" i="13"/>
  <c r="M895" i="13"/>
  <c r="O894" i="13"/>
  <c r="M894" i="13"/>
  <c r="O893" i="13"/>
  <c r="M893" i="13"/>
  <c r="O892" i="13"/>
  <c r="M892" i="13"/>
  <c r="O891" i="13"/>
  <c r="M891" i="13"/>
  <c r="O890" i="13"/>
  <c r="M890" i="13"/>
  <c r="O889" i="13"/>
  <c r="M889" i="13"/>
  <c r="O885" i="13"/>
  <c r="M885" i="13"/>
  <c r="D883" i="13"/>
  <c r="C883" i="13"/>
  <c r="C884" i="13" s="1"/>
  <c r="C885" i="13" s="1"/>
  <c r="C886" i="13" s="1"/>
  <c r="C887" i="13" s="1"/>
  <c r="C888" i="13" s="1"/>
  <c r="C889" i="13" s="1"/>
  <c r="C890" i="13" s="1"/>
  <c r="C891" i="13"/>
  <c r="C892" i="13" s="1"/>
  <c r="C893" i="13" s="1"/>
  <c r="C894" i="13" s="1"/>
  <c r="C895" i="13" s="1"/>
  <c r="C896" i="13" s="1"/>
  <c r="C897" i="13" s="1"/>
  <c r="C898" i="13" s="1"/>
  <c r="C899" i="13" s="1"/>
  <c r="C900" i="13" s="1"/>
  <c r="C901" i="13" s="1"/>
  <c r="C902" i="13" s="1"/>
  <c r="C903" i="13" s="1"/>
  <c r="C904" i="13" s="1"/>
  <c r="C905" i="13" s="1"/>
  <c r="C906" i="13" s="1"/>
  <c r="C907" i="13" s="1"/>
  <c r="C908" i="13" s="1"/>
  <c r="C909" i="13" s="1"/>
  <c r="C910" i="13" s="1"/>
  <c r="C911" i="13" s="1"/>
  <c r="C912" i="13" s="1"/>
  <c r="L878" i="13"/>
  <c r="J877" i="13"/>
  <c r="P864" i="13"/>
  <c r="O864" i="13"/>
  <c r="A864" i="13"/>
  <c r="I41" i="6"/>
  <c r="K41" i="6" s="1"/>
  <c r="I40" i="6"/>
  <c r="K40" i="6" s="1"/>
  <c r="I39" i="6"/>
  <c r="K39" i="6" s="1"/>
  <c r="E39" i="6" s="1"/>
  <c r="P777" i="13"/>
  <c r="O777" i="13"/>
  <c r="P690" i="13"/>
  <c r="O690" i="13"/>
  <c r="P603" i="13"/>
  <c r="O603" i="13"/>
  <c r="P516" i="13"/>
  <c r="O516" i="13"/>
  <c r="P429" i="13"/>
  <c r="O429" i="13"/>
  <c r="P342" i="13"/>
  <c r="O342" i="13"/>
  <c r="P255" i="13"/>
  <c r="O255" i="13"/>
  <c r="P168" i="13"/>
  <c r="O168" i="13"/>
  <c r="P81" i="13"/>
  <c r="O81" i="13"/>
  <c r="P8" i="13"/>
  <c r="O8" i="13"/>
  <c r="O855" i="13"/>
  <c r="M855" i="13"/>
  <c r="O854" i="13"/>
  <c r="M854" i="13"/>
  <c r="O853" i="13"/>
  <c r="M853" i="13"/>
  <c r="O852" i="13"/>
  <c r="M852" i="13"/>
  <c r="O851" i="13"/>
  <c r="M851" i="13"/>
  <c r="O850" i="13"/>
  <c r="M850" i="13"/>
  <c r="O849" i="13"/>
  <c r="M849" i="13"/>
  <c r="O848" i="13"/>
  <c r="M848" i="13"/>
  <c r="O847" i="13"/>
  <c r="M847" i="13"/>
  <c r="O846" i="13"/>
  <c r="M846" i="13"/>
  <c r="O845" i="13"/>
  <c r="M845" i="13"/>
  <c r="O844" i="13"/>
  <c r="M844" i="13"/>
  <c r="O843" i="13"/>
  <c r="M843" i="13"/>
  <c r="O842" i="13"/>
  <c r="M842" i="13"/>
  <c r="O841" i="13"/>
  <c r="M841" i="13"/>
  <c r="O840" i="13"/>
  <c r="M840" i="13"/>
  <c r="O839" i="13"/>
  <c r="M839" i="13"/>
  <c r="O838" i="13"/>
  <c r="M838" i="13"/>
  <c r="O837" i="13"/>
  <c r="M837" i="13"/>
  <c r="O836" i="13"/>
  <c r="M836" i="13"/>
  <c r="O835" i="13"/>
  <c r="M835" i="13"/>
  <c r="O834" i="13"/>
  <c r="M834" i="13"/>
  <c r="O833" i="13"/>
  <c r="M833" i="13"/>
  <c r="O832" i="13"/>
  <c r="M832" i="13"/>
  <c r="O831" i="13"/>
  <c r="M831" i="13"/>
  <c r="O830" i="13"/>
  <c r="M830" i="13"/>
  <c r="O829" i="13"/>
  <c r="M829" i="13"/>
  <c r="O828" i="13"/>
  <c r="M828" i="13"/>
  <c r="O827" i="13"/>
  <c r="M827" i="13"/>
  <c r="O826" i="13"/>
  <c r="M826" i="13"/>
  <c r="O825" i="13"/>
  <c r="M825" i="13"/>
  <c r="O824" i="13"/>
  <c r="M824" i="13"/>
  <c r="O823" i="13"/>
  <c r="M823" i="13"/>
  <c r="O822" i="13"/>
  <c r="M822" i="13"/>
  <c r="O821" i="13"/>
  <c r="M821" i="13"/>
  <c r="O820" i="13"/>
  <c r="M820" i="13"/>
  <c r="O819" i="13"/>
  <c r="M819" i="13"/>
  <c r="O818" i="13"/>
  <c r="M818" i="13"/>
  <c r="O817" i="13"/>
  <c r="M817" i="13"/>
  <c r="O816" i="13"/>
  <c r="M816" i="13"/>
  <c r="O815" i="13"/>
  <c r="M815" i="13"/>
  <c r="O814" i="13"/>
  <c r="M814" i="13"/>
  <c r="O813" i="13"/>
  <c r="M813" i="13"/>
  <c r="O812" i="13"/>
  <c r="M812" i="13"/>
  <c r="O811" i="13"/>
  <c r="M811" i="13"/>
  <c r="O810" i="13"/>
  <c r="M810" i="13"/>
  <c r="O809" i="13"/>
  <c r="M809" i="13"/>
  <c r="O808" i="13"/>
  <c r="M808" i="13"/>
  <c r="O807" i="13"/>
  <c r="M807" i="13"/>
  <c r="O806" i="13"/>
  <c r="M806" i="13"/>
  <c r="O805" i="13"/>
  <c r="M805" i="13"/>
  <c r="O804" i="13"/>
  <c r="M804" i="13"/>
  <c r="O803" i="13"/>
  <c r="M803" i="13"/>
  <c r="O802" i="13"/>
  <c r="M802" i="13"/>
  <c r="O801" i="13"/>
  <c r="M801" i="13"/>
  <c r="D796" i="13"/>
  <c r="C796" i="13"/>
  <c r="C797" i="13"/>
  <c r="C798" i="13" s="1"/>
  <c r="C799" i="13" s="1"/>
  <c r="C800" i="13" s="1"/>
  <c r="C801" i="13" s="1"/>
  <c r="C802" i="13" s="1"/>
  <c r="C803" i="13" s="1"/>
  <c r="C804" i="13" s="1"/>
  <c r="C805" i="13" s="1"/>
  <c r="C806" i="13" s="1"/>
  <c r="C807" i="13" s="1"/>
  <c r="C808" i="13" s="1"/>
  <c r="C809" i="13" s="1"/>
  <c r="C810" i="13" s="1"/>
  <c r="C811" i="13" s="1"/>
  <c r="C812" i="13" s="1"/>
  <c r="C813" i="13" s="1"/>
  <c r="C814" i="13" s="1"/>
  <c r="C815" i="13" s="1"/>
  <c r="C816" i="13" s="1"/>
  <c r="C817" i="13" s="1"/>
  <c r="C818" i="13" s="1"/>
  <c r="C819" i="13" s="1"/>
  <c r="C820" i="13" s="1"/>
  <c r="C821" i="13" s="1"/>
  <c r="C822" i="13" s="1"/>
  <c r="C823" i="13" s="1"/>
  <c r="C824" i="13" s="1"/>
  <c r="C825" i="13" s="1"/>
  <c r="L791" i="13"/>
  <c r="J790" i="13"/>
  <c r="L783" i="13"/>
  <c r="A777" i="13"/>
  <c r="O768" i="13"/>
  <c r="M768" i="13"/>
  <c r="O767" i="13"/>
  <c r="M767" i="13"/>
  <c r="O766" i="13"/>
  <c r="M766" i="13"/>
  <c r="O765" i="13"/>
  <c r="M765" i="13"/>
  <c r="O764" i="13"/>
  <c r="M764" i="13"/>
  <c r="O763" i="13"/>
  <c r="M763" i="13"/>
  <c r="O762" i="13"/>
  <c r="M762" i="13"/>
  <c r="O761" i="13"/>
  <c r="M761" i="13"/>
  <c r="O760" i="13"/>
  <c r="M760" i="13"/>
  <c r="O759" i="13"/>
  <c r="M759" i="13"/>
  <c r="O758" i="13"/>
  <c r="M758" i="13"/>
  <c r="O757" i="13"/>
  <c r="M757" i="13"/>
  <c r="O756" i="13"/>
  <c r="M756" i="13"/>
  <c r="O755" i="13"/>
  <c r="M755" i="13"/>
  <c r="O754" i="13"/>
  <c r="M754" i="13"/>
  <c r="O753" i="13"/>
  <c r="M753" i="13"/>
  <c r="O752" i="13"/>
  <c r="M752" i="13"/>
  <c r="O751" i="13"/>
  <c r="M751" i="13"/>
  <c r="O750" i="13"/>
  <c r="M750" i="13"/>
  <c r="O749" i="13"/>
  <c r="M749" i="13"/>
  <c r="O748" i="13"/>
  <c r="M748" i="13"/>
  <c r="O747" i="13"/>
  <c r="M747" i="13"/>
  <c r="O746" i="13"/>
  <c r="M746" i="13"/>
  <c r="O745" i="13"/>
  <c r="M745" i="13"/>
  <c r="O744" i="13"/>
  <c r="M744" i="13"/>
  <c r="O743" i="13"/>
  <c r="M743" i="13"/>
  <c r="O742" i="13"/>
  <c r="M742" i="13"/>
  <c r="O741" i="13"/>
  <c r="M741" i="13"/>
  <c r="O740" i="13"/>
  <c r="M740" i="13"/>
  <c r="O739" i="13"/>
  <c r="M739" i="13"/>
  <c r="O738" i="13"/>
  <c r="M738" i="13"/>
  <c r="O737" i="13"/>
  <c r="M737" i="13"/>
  <c r="O736" i="13"/>
  <c r="M736" i="13"/>
  <c r="O735" i="13"/>
  <c r="M735" i="13"/>
  <c r="O734" i="13"/>
  <c r="M734" i="13"/>
  <c r="O733" i="13"/>
  <c r="M733" i="13"/>
  <c r="O732" i="13"/>
  <c r="M732" i="13"/>
  <c r="O731" i="13"/>
  <c r="M731" i="13"/>
  <c r="O730" i="13"/>
  <c r="M730" i="13"/>
  <c r="O729" i="13"/>
  <c r="M729" i="13"/>
  <c r="O728" i="13"/>
  <c r="M728" i="13"/>
  <c r="O727" i="13"/>
  <c r="M727" i="13"/>
  <c r="O726" i="13"/>
  <c r="M726" i="13"/>
  <c r="O725" i="13"/>
  <c r="M725" i="13"/>
  <c r="O724" i="13"/>
  <c r="M724" i="13"/>
  <c r="O723" i="13"/>
  <c r="M723" i="13"/>
  <c r="O722" i="13"/>
  <c r="M722" i="13"/>
  <c r="O721" i="13"/>
  <c r="M721" i="13"/>
  <c r="O720" i="13"/>
  <c r="M720" i="13"/>
  <c r="O719" i="13"/>
  <c r="M719" i="13"/>
  <c r="O718" i="13"/>
  <c r="M718" i="13"/>
  <c r="O717" i="13"/>
  <c r="M717" i="13"/>
  <c r="O716" i="13"/>
  <c r="M716" i="13"/>
  <c r="O715" i="13"/>
  <c r="M715" i="13"/>
  <c r="D709" i="13"/>
  <c r="C709" i="13"/>
  <c r="C710" i="13"/>
  <c r="C711" i="13"/>
  <c r="C712" i="13" s="1"/>
  <c r="C713" i="13" s="1"/>
  <c r="C714" i="13" s="1"/>
  <c r="C715" i="13" s="1"/>
  <c r="C716" i="13" s="1"/>
  <c r="C717" i="13" s="1"/>
  <c r="C718" i="13" s="1"/>
  <c r="C719" i="13" s="1"/>
  <c r="C720" i="13" s="1"/>
  <c r="C721" i="13" s="1"/>
  <c r="C722" i="13" s="1"/>
  <c r="C723" i="13" s="1"/>
  <c r="C724" i="13" s="1"/>
  <c r="C725" i="13" s="1"/>
  <c r="C726" i="13" s="1"/>
  <c r="C727" i="13" s="1"/>
  <c r="C728" i="13" s="1"/>
  <c r="C729" i="13" s="1"/>
  <c r="C730" i="13" s="1"/>
  <c r="C731" i="13" s="1"/>
  <c r="C732" i="13" s="1"/>
  <c r="C733" i="13" s="1"/>
  <c r="C734" i="13" s="1"/>
  <c r="C735" i="13" s="1"/>
  <c r="C736" i="13" s="1"/>
  <c r="C737" i="13" s="1"/>
  <c r="C738" i="13" s="1"/>
  <c r="L704" i="13"/>
  <c r="J703" i="13"/>
  <c r="A690" i="13"/>
  <c r="O681" i="13"/>
  <c r="M681" i="13"/>
  <c r="O680" i="13"/>
  <c r="M680" i="13"/>
  <c r="O679" i="13"/>
  <c r="M679" i="13"/>
  <c r="O678" i="13"/>
  <c r="M678" i="13"/>
  <c r="O677" i="13"/>
  <c r="M677" i="13"/>
  <c r="O676" i="13"/>
  <c r="M676" i="13"/>
  <c r="O675" i="13"/>
  <c r="M675" i="13"/>
  <c r="O674" i="13"/>
  <c r="M674" i="13"/>
  <c r="O673" i="13"/>
  <c r="M673" i="13"/>
  <c r="O672" i="13"/>
  <c r="M672" i="13"/>
  <c r="O671" i="13"/>
  <c r="M671" i="13"/>
  <c r="O670" i="13"/>
  <c r="M670" i="13"/>
  <c r="O669" i="13"/>
  <c r="M669" i="13"/>
  <c r="O668" i="13"/>
  <c r="M668" i="13"/>
  <c r="O667" i="13"/>
  <c r="M667" i="13"/>
  <c r="O666" i="13"/>
  <c r="M666" i="13"/>
  <c r="O665" i="13"/>
  <c r="M665" i="13"/>
  <c r="O664" i="13"/>
  <c r="M664" i="13"/>
  <c r="O663" i="13"/>
  <c r="M663" i="13"/>
  <c r="O662" i="13"/>
  <c r="M662" i="13"/>
  <c r="O661" i="13"/>
  <c r="M661" i="13"/>
  <c r="O660" i="13"/>
  <c r="M660" i="13"/>
  <c r="O659" i="13"/>
  <c r="M659" i="13"/>
  <c r="O658" i="13"/>
  <c r="M658" i="13"/>
  <c r="O657" i="13"/>
  <c r="M657" i="13"/>
  <c r="O656" i="13"/>
  <c r="M656" i="13"/>
  <c r="O655" i="13"/>
  <c r="M655" i="13"/>
  <c r="O654" i="13"/>
  <c r="M654" i="13"/>
  <c r="O653" i="13"/>
  <c r="M653" i="13"/>
  <c r="O652" i="13"/>
  <c r="M652" i="13"/>
  <c r="O651" i="13"/>
  <c r="M651" i="13"/>
  <c r="O650" i="13"/>
  <c r="M650" i="13"/>
  <c r="O649" i="13"/>
  <c r="M649" i="13"/>
  <c r="O648" i="13"/>
  <c r="M648" i="13"/>
  <c r="O647" i="13"/>
  <c r="M647" i="13"/>
  <c r="O646" i="13"/>
  <c r="M646" i="13"/>
  <c r="O645" i="13"/>
  <c r="M645" i="13"/>
  <c r="O644" i="13"/>
  <c r="M644" i="13"/>
  <c r="O643" i="13"/>
  <c r="M643" i="13"/>
  <c r="O642" i="13"/>
  <c r="M642" i="13"/>
  <c r="O641" i="13"/>
  <c r="M641" i="13"/>
  <c r="O640" i="13"/>
  <c r="M640" i="13"/>
  <c r="O639" i="13"/>
  <c r="M639" i="13"/>
  <c r="O638" i="13"/>
  <c r="M638" i="13"/>
  <c r="O637" i="13"/>
  <c r="M637" i="13"/>
  <c r="O636" i="13"/>
  <c r="M636" i="13"/>
  <c r="O635" i="13"/>
  <c r="M635" i="13"/>
  <c r="O634" i="13"/>
  <c r="M634" i="13"/>
  <c r="O633" i="13"/>
  <c r="M633" i="13"/>
  <c r="O632" i="13"/>
  <c r="M632" i="13"/>
  <c r="O631" i="13"/>
  <c r="M631" i="13"/>
  <c r="O630" i="13"/>
  <c r="M630" i="13"/>
  <c r="O629" i="13"/>
  <c r="M629" i="13"/>
  <c r="O628" i="13"/>
  <c r="M628" i="13"/>
  <c r="D622" i="13"/>
  <c r="C622" i="13"/>
  <c r="C623" i="13"/>
  <c r="C624" i="13"/>
  <c r="C625" i="13"/>
  <c r="C626" i="13" s="1"/>
  <c r="C627" i="13" s="1"/>
  <c r="C628" i="13" s="1"/>
  <c r="C629" i="13" s="1"/>
  <c r="C630" i="13" s="1"/>
  <c r="C631" i="13" s="1"/>
  <c r="C632" i="13" s="1"/>
  <c r="C633" i="13" s="1"/>
  <c r="C634" i="13" s="1"/>
  <c r="C635" i="13" s="1"/>
  <c r="C636" i="13" s="1"/>
  <c r="C637" i="13" s="1"/>
  <c r="C638" i="13" s="1"/>
  <c r="C639" i="13" s="1"/>
  <c r="C640" i="13" s="1"/>
  <c r="C641" i="13" s="1"/>
  <c r="C642" i="13" s="1"/>
  <c r="C643" i="13" s="1"/>
  <c r="C644" i="13" s="1"/>
  <c r="C645" i="13" s="1"/>
  <c r="C646" i="13" s="1"/>
  <c r="C647" i="13" s="1"/>
  <c r="C648" i="13" s="1"/>
  <c r="C649" i="13" s="1"/>
  <c r="C650" i="13" s="1"/>
  <c r="C651" i="13" s="1"/>
  <c r="L617" i="13"/>
  <c r="J616" i="13"/>
  <c r="A603" i="13"/>
  <c r="O594" i="13"/>
  <c r="M594" i="13"/>
  <c r="O593" i="13"/>
  <c r="M593" i="13"/>
  <c r="O592" i="13"/>
  <c r="M592" i="13"/>
  <c r="O591" i="13"/>
  <c r="M591" i="13"/>
  <c r="O590" i="13"/>
  <c r="M590" i="13"/>
  <c r="O589" i="13"/>
  <c r="M589" i="13"/>
  <c r="O588" i="13"/>
  <c r="M588" i="13"/>
  <c r="O587" i="13"/>
  <c r="M587" i="13"/>
  <c r="O586" i="13"/>
  <c r="M586" i="13"/>
  <c r="O585" i="13"/>
  <c r="M585" i="13"/>
  <c r="O584" i="13"/>
  <c r="M584" i="13"/>
  <c r="O583" i="13"/>
  <c r="M583" i="13"/>
  <c r="O582" i="13"/>
  <c r="M582" i="13"/>
  <c r="O581" i="13"/>
  <c r="M581" i="13"/>
  <c r="O580" i="13"/>
  <c r="M580" i="13"/>
  <c r="O579" i="13"/>
  <c r="M579" i="13"/>
  <c r="O578" i="13"/>
  <c r="M578" i="13"/>
  <c r="O577" i="13"/>
  <c r="M577" i="13"/>
  <c r="O576" i="13"/>
  <c r="M576" i="13"/>
  <c r="O575" i="13"/>
  <c r="M575" i="13"/>
  <c r="O574" i="13"/>
  <c r="M574" i="13"/>
  <c r="O573" i="13"/>
  <c r="M573" i="13"/>
  <c r="O572" i="13"/>
  <c r="M572" i="13"/>
  <c r="O571" i="13"/>
  <c r="M571" i="13"/>
  <c r="O570" i="13"/>
  <c r="M570" i="13"/>
  <c r="O569" i="13"/>
  <c r="M569" i="13"/>
  <c r="O568" i="13"/>
  <c r="M568" i="13"/>
  <c r="O567" i="13"/>
  <c r="M567" i="13"/>
  <c r="O566" i="13"/>
  <c r="M566" i="13"/>
  <c r="O565" i="13"/>
  <c r="M565" i="13"/>
  <c r="O564" i="13"/>
  <c r="M564" i="13"/>
  <c r="O563" i="13"/>
  <c r="M563" i="13"/>
  <c r="O562" i="13"/>
  <c r="M562" i="13"/>
  <c r="O561" i="13"/>
  <c r="M561" i="13"/>
  <c r="O560" i="13"/>
  <c r="M560" i="13"/>
  <c r="O559" i="13"/>
  <c r="M559" i="13"/>
  <c r="O558" i="13"/>
  <c r="M558" i="13"/>
  <c r="O557" i="13"/>
  <c r="M557" i="13"/>
  <c r="O556" i="13"/>
  <c r="M556" i="13"/>
  <c r="O555" i="13"/>
  <c r="M555" i="13"/>
  <c r="O554" i="13"/>
  <c r="M554" i="13"/>
  <c r="O553" i="13"/>
  <c r="M553" i="13"/>
  <c r="O552" i="13"/>
  <c r="M552" i="13"/>
  <c r="O551" i="13"/>
  <c r="M551" i="13"/>
  <c r="O550" i="13"/>
  <c r="M550" i="13"/>
  <c r="O549" i="13"/>
  <c r="M549" i="13"/>
  <c r="O548" i="13"/>
  <c r="M548" i="13"/>
  <c r="O547" i="13"/>
  <c r="M547" i="13"/>
  <c r="O546" i="13"/>
  <c r="M546" i="13"/>
  <c r="O545" i="13"/>
  <c r="M545" i="13"/>
  <c r="O544" i="13"/>
  <c r="M544" i="13"/>
  <c r="O543" i="13"/>
  <c r="M543" i="13"/>
  <c r="O542" i="13"/>
  <c r="M542" i="13"/>
  <c r="O541" i="13"/>
  <c r="M541" i="13"/>
  <c r="D535" i="13"/>
  <c r="C535" i="13"/>
  <c r="C536" i="13" s="1"/>
  <c r="C537" i="13" s="1"/>
  <c r="C538" i="13"/>
  <c r="C539" i="13" s="1"/>
  <c r="C540" i="13" s="1"/>
  <c r="C541" i="13" s="1"/>
  <c r="C542" i="13" s="1"/>
  <c r="C543" i="13" s="1"/>
  <c r="C544" i="13" s="1"/>
  <c r="C545" i="13" s="1"/>
  <c r="C546" i="13"/>
  <c r="C547" i="13" s="1"/>
  <c r="C548" i="13" s="1"/>
  <c r="C549" i="13" s="1"/>
  <c r="C550" i="13" s="1"/>
  <c r="C551" i="13" s="1"/>
  <c r="C552" i="13" s="1"/>
  <c r="C553" i="13" s="1"/>
  <c r="C554" i="13" s="1"/>
  <c r="C555" i="13" s="1"/>
  <c r="C556" i="13" s="1"/>
  <c r="C557" i="13" s="1"/>
  <c r="C558" i="13" s="1"/>
  <c r="C559" i="13" s="1"/>
  <c r="C560" i="13" s="1"/>
  <c r="C561" i="13" s="1"/>
  <c r="C562" i="13"/>
  <c r="C563" i="13" s="1"/>
  <c r="C564" i="13" s="1"/>
  <c r="L530" i="13"/>
  <c r="J529" i="13"/>
  <c r="A516" i="13"/>
  <c r="O507" i="13"/>
  <c r="M507" i="13"/>
  <c r="O506" i="13"/>
  <c r="M506" i="13"/>
  <c r="O505" i="13"/>
  <c r="M505" i="13"/>
  <c r="O504" i="13"/>
  <c r="M504" i="13"/>
  <c r="O503" i="13"/>
  <c r="M503" i="13"/>
  <c r="O502" i="13"/>
  <c r="M502" i="13"/>
  <c r="O501" i="13"/>
  <c r="M501" i="13"/>
  <c r="O500" i="13"/>
  <c r="M500" i="13"/>
  <c r="O499" i="13"/>
  <c r="M499" i="13"/>
  <c r="O498" i="13"/>
  <c r="M498" i="13"/>
  <c r="O497" i="13"/>
  <c r="M497" i="13"/>
  <c r="O496" i="13"/>
  <c r="M496" i="13"/>
  <c r="O495" i="13"/>
  <c r="M495" i="13"/>
  <c r="O494" i="13"/>
  <c r="M494" i="13"/>
  <c r="O493" i="13"/>
  <c r="M493" i="13"/>
  <c r="O492" i="13"/>
  <c r="M492" i="13"/>
  <c r="O491" i="13"/>
  <c r="M491" i="13"/>
  <c r="O490" i="13"/>
  <c r="M490" i="13"/>
  <c r="O489" i="13"/>
  <c r="M489" i="13"/>
  <c r="O488" i="13"/>
  <c r="M488" i="13"/>
  <c r="O487" i="13"/>
  <c r="M487" i="13"/>
  <c r="O486" i="13"/>
  <c r="M486" i="13"/>
  <c r="O485" i="13"/>
  <c r="M485" i="13"/>
  <c r="O484" i="13"/>
  <c r="M484" i="13"/>
  <c r="O483" i="13"/>
  <c r="M483" i="13"/>
  <c r="O482" i="13"/>
  <c r="M482" i="13"/>
  <c r="O481" i="13"/>
  <c r="M481" i="13"/>
  <c r="O480" i="13"/>
  <c r="M480" i="13"/>
  <c r="O479" i="13"/>
  <c r="M479" i="13"/>
  <c r="O478" i="13"/>
  <c r="M478" i="13"/>
  <c r="O477" i="13"/>
  <c r="M477" i="13"/>
  <c r="O476" i="13"/>
  <c r="M476" i="13"/>
  <c r="O475" i="13"/>
  <c r="M475" i="13"/>
  <c r="O474" i="13"/>
  <c r="M474" i="13"/>
  <c r="O473" i="13"/>
  <c r="M473" i="13"/>
  <c r="O472" i="13"/>
  <c r="M472" i="13"/>
  <c r="O471" i="13"/>
  <c r="M471" i="13"/>
  <c r="O470" i="13"/>
  <c r="M470" i="13"/>
  <c r="O469" i="13"/>
  <c r="M469" i="13"/>
  <c r="O468" i="13"/>
  <c r="M468" i="13"/>
  <c r="O467" i="13"/>
  <c r="M467" i="13"/>
  <c r="O466" i="13"/>
  <c r="M466" i="13"/>
  <c r="O465" i="13"/>
  <c r="M465" i="13"/>
  <c r="O464" i="13"/>
  <c r="M464" i="13"/>
  <c r="O463" i="13"/>
  <c r="M463" i="13"/>
  <c r="O462" i="13"/>
  <c r="M462" i="13"/>
  <c r="O461" i="13"/>
  <c r="M461" i="13"/>
  <c r="O460" i="13"/>
  <c r="M460" i="13"/>
  <c r="O459" i="13"/>
  <c r="M459" i="13"/>
  <c r="O458" i="13"/>
  <c r="M458" i="13"/>
  <c r="O457" i="13"/>
  <c r="M457" i="13"/>
  <c r="O456" i="13"/>
  <c r="M456" i="13"/>
  <c r="O455" i="13"/>
  <c r="M455" i="13"/>
  <c r="O454" i="13"/>
  <c r="M454" i="13"/>
  <c r="D448" i="13"/>
  <c r="C448" i="13"/>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L443" i="13"/>
  <c r="J442" i="13"/>
  <c r="L435" i="13"/>
  <c r="A429" i="13"/>
  <c r="O420" i="13"/>
  <c r="M420" i="13"/>
  <c r="O419" i="13"/>
  <c r="M419" i="13"/>
  <c r="O418" i="13"/>
  <c r="M418" i="13"/>
  <c r="O417" i="13"/>
  <c r="M417" i="13"/>
  <c r="O416" i="13"/>
  <c r="M416" i="13"/>
  <c r="O415" i="13"/>
  <c r="M415" i="13"/>
  <c r="O414" i="13"/>
  <c r="M414" i="13"/>
  <c r="O413" i="13"/>
  <c r="M413" i="13"/>
  <c r="O412" i="13"/>
  <c r="M412" i="13"/>
  <c r="O411" i="13"/>
  <c r="M411" i="13"/>
  <c r="O410" i="13"/>
  <c r="M410" i="13"/>
  <c r="O409" i="13"/>
  <c r="M409" i="13"/>
  <c r="O408" i="13"/>
  <c r="M408" i="13"/>
  <c r="O407" i="13"/>
  <c r="M407" i="13"/>
  <c r="O406" i="13"/>
  <c r="M406" i="13"/>
  <c r="O405" i="13"/>
  <c r="M405" i="13"/>
  <c r="O404" i="13"/>
  <c r="M404" i="13"/>
  <c r="O403" i="13"/>
  <c r="M403" i="13"/>
  <c r="O402" i="13"/>
  <c r="M402" i="13"/>
  <c r="O401" i="13"/>
  <c r="M401" i="13"/>
  <c r="O400" i="13"/>
  <c r="M400" i="13"/>
  <c r="O399" i="13"/>
  <c r="M399" i="13"/>
  <c r="O398" i="13"/>
  <c r="M398" i="13"/>
  <c r="O397" i="13"/>
  <c r="M397" i="13"/>
  <c r="O396" i="13"/>
  <c r="M396" i="13"/>
  <c r="O395" i="13"/>
  <c r="M395" i="13"/>
  <c r="O394" i="13"/>
  <c r="M394" i="13"/>
  <c r="O393" i="13"/>
  <c r="M393" i="13"/>
  <c r="O392" i="13"/>
  <c r="M392" i="13"/>
  <c r="O391" i="13"/>
  <c r="M391" i="13"/>
  <c r="O390" i="13"/>
  <c r="M390" i="13"/>
  <c r="O389" i="13"/>
  <c r="M389" i="13"/>
  <c r="O388" i="13"/>
  <c r="M388" i="13"/>
  <c r="O387" i="13"/>
  <c r="M387" i="13"/>
  <c r="O386" i="13"/>
  <c r="M386" i="13"/>
  <c r="O385" i="13"/>
  <c r="M385" i="13"/>
  <c r="O384" i="13"/>
  <c r="M384" i="13"/>
  <c r="O383" i="13"/>
  <c r="M383" i="13"/>
  <c r="O382" i="13"/>
  <c r="M382" i="13"/>
  <c r="O381" i="13"/>
  <c r="M381" i="13"/>
  <c r="O380" i="13"/>
  <c r="M380" i="13"/>
  <c r="O379" i="13"/>
  <c r="M379" i="13"/>
  <c r="O378" i="13"/>
  <c r="M378" i="13"/>
  <c r="O377" i="13"/>
  <c r="M377" i="13"/>
  <c r="O376" i="13"/>
  <c r="M376" i="13"/>
  <c r="O375" i="13"/>
  <c r="M375" i="13"/>
  <c r="O374" i="13"/>
  <c r="M374" i="13"/>
  <c r="O373" i="13"/>
  <c r="M373" i="13"/>
  <c r="O372" i="13"/>
  <c r="M372" i="13"/>
  <c r="O371" i="13"/>
  <c r="M371" i="13"/>
  <c r="O370" i="13"/>
  <c r="M370" i="13"/>
  <c r="O369" i="13"/>
  <c r="M369" i="13"/>
  <c r="D361" i="13"/>
  <c r="C361" i="13"/>
  <c r="C362" i="13" s="1"/>
  <c r="C363" i="13" s="1"/>
  <c r="C364" i="13" s="1"/>
  <c r="C365" i="13" s="1"/>
  <c r="C366" i="13" s="1"/>
  <c r="C367" i="13" s="1"/>
  <c r="C368" i="13" s="1"/>
  <c r="C369" i="13" s="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L356" i="13"/>
  <c r="J355" i="13"/>
  <c r="L348" i="13"/>
  <c r="A342" i="13"/>
  <c r="O333" i="13"/>
  <c r="M333" i="13"/>
  <c r="O332" i="13"/>
  <c r="M332" i="13"/>
  <c r="O331" i="13"/>
  <c r="M331" i="13"/>
  <c r="O330" i="13"/>
  <c r="M330" i="13"/>
  <c r="O329" i="13"/>
  <c r="M329" i="13"/>
  <c r="O328" i="13"/>
  <c r="M328" i="13"/>
  <c r="O327" i="13"/>
  <c r="M327" i="13"/>
  <c r="O326" i="13"/>
  <c r="M326" i="13"/>
  <c r="O325" i="13"/>
  <c r="M325" i="13"/>
  <c r="O324" i="13"/>
  <c r="M324" i="13"/>
  <c r="O323" i="13"/>
  <c r="M323" i="13"/>
  <c r="O322" i="13"/>
  <c r="M322" i="13"/>
  <c r="O321" i="13"/>
  <c r="M321" i="13"/>
  <c r="O320" i="13"/>
  <c r="M320" i="13"/>
  <c r="O319" i="13"/>
  <c r="M319" i="13"/>
  <c r="O318" i="13"/>
  <c r="M318" i="13"/>
  <c r="O317" i="13"/>
  <c r="M317" i="13"/>
  <c r="O316" i="13"/>
  <c r="M316" i="13"/>
  <c r="O315" i="13"/>
  <c r="M315" i="13"/>
  <c r="O314" i="13"/>
  <c r="M314" i="13"/>
  <c r="O313" i="13"/>
  <c r="M313" i="13"/>
  <c r="O312" i="13"/>
  <c r="M312" i="13"/>
  <c r="O311" i="13"/>
  <c r="M311" i="13"/>
  <c r="O310" i="13"/>
  <c r="M310" i="13"/>
  <c r="O309" i="13"/>
  <c r="M309" i="13"/>
  <c r="O308" i="13"/>
  <c r="M308" i="13"/>
  <c r="O307" i="13"/>
  <c r="M307" i="13"/>
  <c r="O306" i="13"/>
  <c r="M306" i="13"/>
  <c r="O305" i="13"/>
  <c r="M305" i="13"/>
  <c r="O304" i="13"/>
  <c r="M304" i="13"/>
  <c r="O303" i="13"/>
  <c r="M303" i="13"/>
  <c r="O302" i="13"/>
  <c r="M302" i="13"/>
  <c r="O301" i="13"/>
  <c r="M301" i="13"/>
  <c r="O300" i="13"/>
  <c r="M300" i="13"/>
  <c r="O299" i="13"/>
  <c r="M299" i="13"/>
  <c r="O298" i="13"/>
  <c r="M298" i="13"/>
  <c r="O297" i="13"/>
  <c r="M297" i="13"/>
  <c r="O296" i="13"/>
  <c r="M296" i="13"/>
  <c r="O295" i="13"/>
  <c r="M295" i="13"/>
  <c r="O294" i="13"/>
  <c r="M294" i="13"/>
  <c r="O293" i="13"/>
  <c r="M293" i="13"/>
  <c r="O292" i="13"/>
  <c r="M292" i="13"/>
  <c r="O291" i="13"/>
  <c r="M291" i="13"/>
  <c r="O290" i="13"/>
  <c r="M290" i="13"/>
  <c r="O289" i="13"/>
  <c r="M289" i="13"/>
  <c r="O288" i="13"/>
  <c r="M288" i="13"/>
  <c r="O287" i="13"/>
  <c r="M287" i="13"/>
  <c r="O286" i="13"/>
  <c r="M286" i="13"/>
  <c r="O285" i="13"/>
  <c r="M285" i="13"/>
  <c r="O284" i="13"/>
  <c r="M284" i="13"/>
  <c r="O283" i="13"/>
  <c r="M283" i="13"/>
  <c r="D274" i="13"/>
  <c r="C274" i="13"/>
  <c r="C275" i="13"/>
  <c r="C276" i="13" s="1"/>
  <c r="C277" i="13" s="1"/>
  <c r="C278" i="13" s="1"/>
  <c r="C279" i="13" s="1"/>
  <c r="C280" i="13" s="1"/>
  <c r="C281" i="13" s="1"/>
  <c r="C282" i="13" s="1"/>
  <c r="C283" i="13" s="1"/>
  <c r="C284" i="13" s="1"/>
  <c r="C285" i="13" s="1"/>
  <c r="C286" i="13" s="1"/>
  <c r="C287" i="13" s="1"/>
  <c r="C288" i="13" s="1"/>
  <c r="C289" i="13" s="1"/>
  <c r="C290" i="13" s="1"/>
  <c r="C291" i="13" s="1"/>
  <c r="C292" i="13" s="1"/>
  <c r="C293" i="13" s="1"/>
  <c r="C294" i="13" s="1"/>
  <c r="C295" i="13" s="1"/>
  <c r="C296" i="13" s="1"/>
  <c r="C297" i="13" s="1"/>
  <c r="C298" i="13" s="1"/>
  <c r="C299" i="13" s="1"/>
  <c r="C300" i="13" s="1"/>
  <c r="C301" i="13" s="1"/>
  <c r="C302" i="13" s="1"/>
  <c r="C303" i="13" s="1"/>
  <c r="L269" i="13"/>
  <c r="J268" i="13"/>
  <c r="A255" i="13"/>
  <c r="O246" i="13"/>
  <c r="M246" i="13"/>
  <c r="O245" i="13"/>
  <c r="M245" i="13"/>
  <c r="O244" i="13"/>
  <c r="M244" i="13"/>
  <c r="O243" i="13"/>
  <c r="M243" i="13"/>
  <c r="O242" i="13"/>
  <c r="M242" i="13"/>
  <c r="O241" i="13"/>
  <c r="M241" i="13"/>
  <c r="O240" i="13"/>
  <c r="M240" i="13"/>
  <c r="O239" i="13"/>
  <c r="M239" i="13"/>
  <c r="O238" i="13"/>
  <c r="M238" i="13"/>
  <c r="O237" i="13"/>
  <c r="M237" i="13"/>
  <c r="O236" i="13"/>
  <c r="M236" i="13"/>
  <c r="O235" i="13"/>
  <c r="M235" i="13"/>
  <c r="O234" i="13"/>
  <c r="M234" i="13"/>
  <c r="O233" i="13"/>
  <c r="M233" i="13"/>
  <c r="O232" i="13"/>
  <c r="M232" i="13"/>
  <c r="O231" i="13"/>
  <c r="M231" i="13"/>
  <c r="O230" i="13"/>
  <c r="M230" i="13"/>
  <c r="O229" i="13"/>
  <c r="M229" i="13"/>
  <c r="O228" i="13"/>
  <c r="M228" i="13"/>
  <c r="O227" i="13"/>
  <c r="M227" i="13"/>
  <c r="O226" i="13"/>
  <c r="M226" i="13"/>
  <c r="O225" i="13"/>
  <c r="M225" i="13"/>
  <c r="O224" i="13"/>
  <c r="M224" i="13"/>
  <c r="O223" i="13"/>
  <c r="M223" i="13"/>
  <c r="O222" i="13"/>
  <c r="M222" i="13"/>
  <c r="O221" i="13"/>
  <c r="M221" i="13"/>
  <c r="O220" i="13"/>
  <c r="M220" i="13"/>
  <c r="O219" i="13"/>
  <c r="M219" i="13"/>
  <c r="O218" i="13"/>
  <c r="M218" i="13"/>
  <c r="O217" i="13"/>
  <c r="M217" i="13"/>
  <c r="O216" i="13"/>
  <c r="M216" i="13"/>
  <c r="O215" i="13"/>
  <c r="M215" i="13"/>
  <c r="O214" i="13"/>
  <c r="M214" i="13"/>
  <c r="O213" i="13"/>
  <c r="M213" i="13"/>
  <c r="O212" i="13"/>
  <c r="M212" i="13"/>
  <c r="O211" i="13"/>
  <c r="M211" i="13"/>
  <c r="O210" i="13"/>
  <c r="M210" i="13"/>
  <c r="O209" i="13"/>
  <c r="M209" i="13"/>
  <c r="O208" i="13"/>
  <c r="M208" i="13"/>
  <c r="O207" i="13"/>
  <c r="M207" i="13"/>
  <c r="O206" i="13"/>
  <c r="M206" i="13"/>
  <c r="O205" i="13"/>
  <c r="M205" i="13"/>
  <c r="O204" i="13"/>
  <c r="M204" i="13"/>
  <c r="O203" i="13"/>
  <c r="M203" i="13"/>
  <c r="O202" i="13"/>
  <c r="M202" i="13"/>
  <c r="O201" i="13"/>
  <c r="M201" i="13"/>
  <c r="O200" i="13"/>
  <c r="M200" i="13"/>
  <c r="O199" i="13"/>
  <c r="M199" i="13"/>
  <c r="O198" i="13"/>
  <c r="M198" i="13"/>
  <c r="O197" i="13"/>
  <c r="M197" i="13"/>
  <c r="O196" i="13"/>
  <c r="M196" i="13"/>
  <c r="D187" i="13"/>
  <c r="C187" i="13"/>
  <c r="C188" i="13"/>
  <c r="C189" i="13" s="1"/>
  <c r="C190" i="13" s="1"/>
  <c r="C191" i="13" s="1"/>
  <c r="C192" i="13" s="1"/>
  <c r="C193" i="13" s="1"/>
  <c r="C194" i="13" s="1"/>
  <c r="C195" i="13" s="1"/>
  <c r="C196" i="13" s="1"/>
  <c r="C197" i="13" s="1"/>
  <c r="C198" i="13" s="1"/>
  <c r="C199" i="13" s="1"/>
  <c r="C200" i="13" s="1"/>
  <c r="C201" i="13" s="1"/>
  <c r="C202" i="13" s="1"/>
  <c r="C203" i="13" s="1"/>
  <c r="C204" i="13" s="1"/>
  <c r="C205" i="13" s="1"/>
  <c r="C206" i="13" s="1"/>
  <c r="C207" i="13" s="1"/>
  <c r="C208" i="13" s="1"/>
  <c r="C209" i="13" s="1"/>
  <c r="C210" i="13" s="1"/>
  <c r="C211" i="13" s="1"/>
  <c r="C212" i="13" s="1"/>
  <c r="C213" i="13" s="1"/>
  <c r="C214" i="13" s="1"/>
  <c r="C215" i="13" s="1"/>
  <c r="C216" i="13" s="1"/>
  <c r="L182" i="13"/>
  <c r="J181" i="13"/>
  <c r="A168" i="13"/>
  <c r="A3" i="13"/>
  <c r="B3" i="13"/>
  <c r="C3" i="13"/>
  <c r="D3" i="13"/>
  <c r="E3" i="13"/>
  <c r="F3" i="13"/>
  <c r="G3" i="13"/>
  <c r="H3" i="13"/>
  <c r="I3" i="13"/>
  <c r="J3" i="13"/>
  <c r="K3" i="13"/>
  <c r="L3" i="13"/>
  <c r="M3" i="13"/>
  <c r="N3" i="13"/>
  <c r="O3" i="13"/>
  <c r="P3" i="13"/>
  <c r="A4" i="13"/>
  <c r="A6" i="13"/>
  <c r="J77" i="13" s="1"/>
  <c r="C11" i="13"/>
  <c r="C14" i="13"/>
  <c r="F16" i="13"/>
  <c r="F18" i="13" s="1"/>
  <c r="E23" i="13" s="1"/>
  <c r="C18" i="13"/>
  <c r="M20" i="13"/>
  <c r="M23" i="13"/>
  <c r="C26" i="13"/>
  <c r="C32" i="13"/>
  <c r="C42" i="13"/>
  <c r="C43" i="13"/>
  <c r="C47" i="13"/>
  <c r="C53" i="13"/>
  <c r="C55" i="13"/>
  <c r="C58" i="13"/>
  <c r="C60" i="13"/>
  <c r="C62" i="13"/>
  <c r="C65" i="13"/>
  <c r="C66" i="13"/>
  <c r="C68" i="13"/>
  <c r="C69" i="13"/>
  <c r="C71" i="13"/>
  <c r="L87" i="13"/>
  <c r="J94" i="13"/>
  <c r="L95" i="13"/>
  <c r="C100" i="13"/>
  <c r="C101" i="13" s="1"/>
  <c r="C102" i="13" s="1"/>
  <c r="C103" i="13" s="1"/>
  <c r="C104" i="13" s="1"/>
  <c r="C105" i="13" s="1"/>
  <c r="C106" i="13" s="1"/>
  <c r="C107" i="13" s="1"/>
  <c r="C108" i="13"/>
  <c r="C109" i="13" s="1"/>
  <c r="C110" i="13" s="1"/>
  <c r="C111" i="13" s="1"/>
  <c r="C112" i="13" s="1"/>
  <c r="C113" i="13" s="1"/>
  <c r="C114" i="13" s="1"/>
  <c r="C115" i="13" s="1"/>
  <c r="C116" i="13" s="1"/>
  <c r="C117" i="13" s="1"/>
  <c r="C118" i="13" s="1"/>
  <c r="C119" i="13" s="1"/>
  <c r="C120" i="13" s="1"/>
  <c r="C121" i="13" s="1"/>
  <c r="C122" i="13" s="1"/>
  <c r="C123" i="13" s="1"/>
  <c r="C124" i="13" s="1"/>
  <c r="C125" i="13" s="1"/>
  <c r="C126" i="13" s="1"/>
  <c r="C127" i="13" s="1"/>
  <c r="C128" i="13" s="1"/>
  <c r="C129" i="13" s="1"/>
  <c r="D100" i="13"/>
  <c r="M110" i="13"/>
  <c r="O110" i="13"/>
  <c r="M111" i="13"/>
  <c r="O111" i="13"/>
  <c r="M112" i="13"/>
  <c r="O112" i="13"/>
  <c r="M113" i="13"/>
  <c r="O113" i="13"/>
  <c r="M114" i="13"/>
  <c r="O114" i="13"/>
  <c r="M115" i="13"/>
  <c r="O115" i="13"/>
  <c r="M116" i="13"/>
  <c r="O116" i="13"/>
  <c r="M117" i="13"/>
  <c r="O117" i="13"/>
  <c r="M118" i="13"/>
  <c r="O118" i="13"/>
  <c r="M119" i="13"/>
  <c r="O119" i="13"/>
  <c r="M120" i="13"/>
  <c r="O120" i="13"/>
  <c r="M121" i="13"/>
  <c r="O121" i="13"/>
  <c r="M122" i="13"/>
  <c r="O122" i="13"/>
  <c r="M123" i="13"/>
  <c r="O123" i="13"/>
  <c r="M124" i="13"/>
  <c r="O124" i="13"/>
  <c r="M125" i="13"/>
  <c r="O125" i="13"/>
  <c r="M126" i="13"/>
  <c r="O126" i="13"/>
  <c r="M127" i="13"/>
  <c r="O127" i="13"/>
  <c r="M128" i="13"/>
  <c r="O128" i="13"/>
  <c r="M129" i="13"/>
  <c r="O129" i="13"/>
  <c r="M130" i="13"/>
  <c r="O130" i="13"/>
  <c r="M131" i="13"/>
  <c r="O131" i="13"/>
  <c r="M132" i="13"/>
  <c r="O132" i="13"/>
  <c r="M133" i="13"/>
  <c r="O133" i="13"/>
  <c r="M134" i="13"/>
  <c r="O134" i="13"/>
  <c r="M135" i="13"/>
  <c r="O135" i="13"/>
  <c r="M136" i="13"/>
  <c r="O136" i="13"/>
  <c r="M137" i="13"/>
  <c r="O137" i="13"/>
  <c r="M138" i="13"/>
  <c r="O138" i="13"/>
  <c r="M139" i="13"/>
  <c r="O139" i="13"/>
  <c r="M140" i="13"/>
  <c r="O140" i="13"/>
  <c r="M141" i="13"/>
  <c r="O141" i="13"/>
  <c r="M142" i="13"/>
  <c r="O142" i="13"/>
  <c r="M143" i="13"/>
  <c r="O143" i="13"/>
  <c r="M144" i="13"/>
  <c r="O144" i="13"/>
  <c r="M145" i="13"/>
  <c r="O145" i="13"/>
  <c r="M146" i="13"/>
  <c r="O146" i="13"/>
  <c r="M147" i="13"/>
  <c r="O147" i="13"/>
  <c r="M148" i="13"/>
  <c r="O148" i="13"/>
  <c r="M149" i="13"/>
  <c r="O149" i="13"/>
  <c r="M150" i="13"/>
  <c r="O150" i="13"/>
  <c r="M151" i="13"/>
  <c r="O151" i="13"/>
  <c r="M152" i="13"/>
  <c r="O152" i="13"/>
  <c r="M153" i="13"/>
  <c r="O153" i="13"/>
  <c r="M154" i="13"/>
  <c r="O154" i="13"/>
  <c r="M155" i="13"/>
  <c r="O155" i="13"/>
  <c r="M156" i="13"/>
  <c r="O156" i="13"/>
  <c r="M157" i="13"/>
  <c r="O157" i="13"/>
  <c r="M158" i="13"/>
  <c r="O158" i="13"/>
  <c r="M159" i="13"/>
  <c r="O159" i="13"/>
  <c r="H41" i="39"/>
  <c r="H40" i="39"/>
  <c r="H38" i="39"/>
  <c r="F42" i="39"/>
  <c r="H35" i="39"/>
  <c r="H34" i="39"/>
  <c r="H32" i="39"/>
  <c r="E42" i="39"/>
  <c r="G22" i="39"/>
  <c r="G21" i="39"/>
  <c r="G19" i="39"/>
  <c r="G18" i="39"/>
  <c r="G16" i="39"/>
  <c r="G14" i="39"/>
  <c r="E42" i="38"/>
  <c r="G73" i="2" s="1"/>
  <c r="G23" i="38"/>
  <c r="G67" i="2" s="1"/>
  <c r="G157" i="2"/>
  <c r="G42" i="38"/>
  <c r="G75" i="2" s="1"/>
  <c r="C42" i="38"/>
  <c r="G15" i="41"/>
  <c r="G21" i="41" s="1"/>
  <c r="G21" i="35"/>
  <c r="G22" i="35" s="1"/>
  <c r="D906" i="20"/>
  <c r="C906" i="20"/>
  <c r="C907" i="20" s="1"/>
  <c r="C908" i="20" s="1"/>
  <c r="C909" i="20"/>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33" i="39"/>
  <c r="H39" i="39"/>
  <c r="H31" i="39"/>
  <c r="G20" i="39"/>
  <c r="G15" i="39"/>
  <c r="G12" i="39"/>
  <c r="G131" i="2"/>
  <c r="J21" i="8"/>
  <c r="I42" i="5"/>
  <c r="I26" i="5"/>
  <c r="D32" i="32"/>
  <c r="D33" i="32" s="1"/>
  <c r="C31" i="32"/>
  <c r="D31" i="32" s="1"/>
  <c r="D30" i="32"/>
  <c r="D29" i="32"/>
  <c r="H22" i="41"/>
  <c r="H23" i="41" s="1"/>
  <c r="H24" i="41" s="1"/>
  <c r="H25" i="41" s="1"/>
  <c r="H26" i="41" s="1"/>
  <c r="H27" i="41" s="1"/>
  <c r="H28" i="41" s="1"/>
  <c r="H29" i="41" s="1"/>
  <c r="H30" i="41" s="1"/>
  <c r="H31" i="41" s="1"/>
  <c r="H32" i="41" s="1"/>
  <c r="I10" i="41"/>
  <c r="E21" i="41" s="1"/>
  <c r="E22" i="41" s="1"/>
  <c r="G10" i="41"/>
  <c r="C10" i="41"/>
  <c r="H22" i="35"/>
  <c r="H23" i="35" s="1"/>
  <c r="H24" i="35" s="1"/>
  <c r="H25" i="35" s="1"/>
  <c r="H26" i="35" s="1"/>
  <c r="H27" i="35" s="1"/>
  <c r="H28" i="35" s="1"/>
  <c r="H29" i="35" s="1"/>
  <c r="H30" i="35" s="1"/>
  <c r="H31" i="35" s="1"/>
  <c r="H32" i="35" s="1"/>
  <c r="I10" i="35"/>
  <c r="E21" i="35" s="1"/>
  <c r="G10" i="35"/>
  <c r="C10" i="35"/>
  <c r="D815" i="20"/>
  <c r="C815" i="20"/>
  <c r="C816" i="20" s="1"/>
  <c r="C817" i="20" s="1"/>
  <c r="C818" i="20" s="1"/>
  <c r="C819" i="20"/>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c r="C728" i="20" s="1"/>
  <c r="C729" i="20" s="1"/>
  <c r="C730" i="20" s="1"/>
  <c r="C731" i="20" s="1"/>
  <c r="C732" i="20" s="1"/>
  <c r="C733" i="20" s="1"/>
  <c r="C734" i="20" s="1"/>
  <c r="C735" i="20" s="1"/>
  <c r="C736" i="20" s="1"/>
  <c r="C737" i="20" s="1"/>
  <c r="C738" i="20" s="1"/>
  <c r="C739" i="20"/>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c r="C461" i="20" s="1"/>
  <c r="C462" i="20" s="1"/>
  <c r="C463" i="20" s="1"/>
  <c r="C464" i="20" s="1"/>
  <c r="C465" i="20" s="1"/>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K454" i="20"/>
  <c r="I453" i="20"/>
  <c r="D369" i="20"/>
  <c r="C369" i="20"/>
  <c r="C370" i="20"/>
  <c r="C371" i="20" s="1"/>
  <c r="C372" i="20" s="1"/>
  <c r="C373" i="20" s="1"/>
  <c r="C374" i="20" s="1"/>
  <c r="C375" i="20" s="1"/>
  <c r="C376" i="20" s="1"/>
  <c r="C377" i="20" s="1"/>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K364" i="20"/>
  <c r="I363" i="20"/>
  <c r="D280" i="20"/>
  <c r="C280" i="20"/>
  <c r="C281" i="20" s="1"/>
  <c r="C282" i="20" s="1"/>
  <c r="C283" i="20" s="1"/>
  <c r="C284" i="20" s="1"/>
  <c r="C285" i="20" s="1"/>
  <c r="C286" i="20" s="1"/>
  <c r="C287" i="20" s="1"/>
  <c r="C288" i="20" s="1"/>
  <c r="C289" i="20" s="1"/>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K275" i="20"/>
  <c r="I274" i="20"/>
  <c r="O261" i="20"/>
  <c r="N261" i="20"/>
  <c r="A261" i="20"/>
  <c r="D191" i="20"/>
  <c r="C191" i="20"/>
  <c r="C192" i="20" s="1"/>
  <c r="C193" i="20" s="1"/>
  <c r="C194" i="20" s="1"/>
  <c r="C195" i="20" s="1"/>
  <c r="C196" i="20" s="1"/>
  <c r="C197" i="20" s="1"/>
  <c r="C198" i="20" s="1"/>
  <c r="C199" i="20"/>
  <c r="C200" i="20" s="1"/>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K186" i="20"/>
  <c r="I185" i="20"/>
  <c r="O172" i="20"/>
  <c r="N172" i="20"/>
  <c r="A172" i="20"/>
  <c r="F62" i="38"/>
  <c r="C64" i="38" s="1"/>
  <c r="E62" i="38"/>
  <c r="L205" i="2" s="1"/>
  <c r="D62" i="38"/>
  <c r="C62" i="38"/>
  <c r="L206" i="2"/>
  <c r="F42" i="38"/>
  <c r="G74" i="2" s="1"/>
  <c r="D42" i="38"/>
  <c r="G72" i="2" s="1"/>
  <c r="F23" i="38"/>
  <c r="G66" i="2" s="1"/>
  <c r="D23" i="38"/>
  <c r="G64" i="2" s="1"/>
  <c r="A7" i="40"/>
  <c r="A4" i="40"/>
  <c r="A3" i="40"/>
  <c r="D30" i="40"/>
  <c r="D23" i="40"/>
  <c r="D18" i="40"/>
  <c r="D20" i="40" s="1"/>
  <c r="A12" i="40"/>
  <c r="A15" i="40"/>
  <c r="A16" i="40" s="1"/>
  <c r="A17" i="40" s="1"/>
  <c r="A18" i="40" s="1"/>
  <c r="A19" i="40" s="1"/>
  <c r="A20" i="40" s="1"/>
  <c r="A21" i="40" s="1"/>
  <c r="A22" i="40" s="1"/>
  <c r="A23" i="40" s="1"/>
  <c r="A26"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L223" i="2" s="1"/>
  <c r="A11" i="39"/>
  <c r="A12" i="39" s="1"/>
  <c r="A13" i="39" s="1"/>
  <c r="A14" i="39" s="1"/>
  <c r="A15" i="39" s="1"/>
  <c r="A16" i="39" s="1"/>
  <c r="A17" i="39" s="1"/>
  <c r="A18" i="39" s="1"/>
  <c r="A19" i="39" s="1"/>
  <c r="A20" i="39" s="1"/>
  <c r="A21" i="39" s="1"/>
  <c r="A22" i="39" s="1"/>
  <c r="A23" i="39" s="1"/>
  <c r="B74" i="39" s="1"/>
  <c r="A2" i="39"/>
  <c r="B6" i="14"/>
  <c r="A6" i="20"/>
  <c r="A6" i="31"/>
  <c r="A6" i="11"/>
  <c r="A6" i="10"/>
  <c r="A6" i="9"/>
  <c r="A6" i="8"/>
  <c r="B36" i="8" s="1"/>
  <c r="A6" i="7"/>
  <c r="B26" i="7"/>
  <c r="A6" i="6"/>
  <c r="A6" i="5"/>
  <c r="A4" i="38"/>
  <c r="Q27" i="21"/>
  <c r="S27" i="21" s="1"/>
  <c r="Q22" i="21"/>
  <c r="Q17" i="21"/>
  <c r="F28" i="38"/>
  <c r="D28" i="38"/>
  <c r="A69" i="38"/>
  <c r="A71" i="38" s="1"/>
  <c r="A75" i="38" s="1"/>
  <c r="A76" i="38" s="1"/>
  <c r="E87" i="38"/>
  <c r="D87" i="38"/>
  <c r="F86" i="38"/>
  <c r="F87" i="38" s="1"/>
  <c r="G97" i="2" s="1"/>
  <c r="F85" i="38"/>
  <c r="E80" i="38"/>
  <c r="D80" i="38"/>
  <c r="F79" i="38"/>
  <c r="F78" i="38"/>
  <c r="F77" i="38"/>
  <c r="F76" i="38"/>
  <c r="F75" i="38"/>
  <c r="F71" i="38"/>
  <c r="L93" i="2" s="1"/>
  <c r="F69" i="38"/>
  <c r="G93" i="2" s="1"/>
  <c r="A11" i="38"/>
  <c r="A12" i="38" s="1"/>
  <c r="A13" i="38"/>
  <c r="A14" i="38" s="1"/>
  <c r="A15" i="38" s="1"/>
  <c r="A16" i="38" s="1"/>
  <c r="A17" i="38" s="1"/>
  <c r="A18" i="38" s="1"/>
  <c r="A19" i="38" s="1"/>
  <c r="A20" i="38" s="1"/>
  <c r="A21" i="38" s="1"/>
  <c r="A22" i="38" s="1"/>
  <c r="A23" i="38" s="1"/>
  <c r="A2" i="38"/>
  <c r="E40" i="31"/>
  <c r="I41" i="31"/>
  <c r="I40" i="31" s="1"/>
  <c r="I39" i="31"/>
  <c r="I38" i="31"/>
  <c r="I36" i="31"/>
  <c r="I35" i="31"/>
  <c r="I34" i="31"/>
  <c r="I33" i="31"/>
  <c r="I32" i="31"/>
  <c r="I31" i="31"/>
  <c r="I25" i="31"/>
  <c r="I26" i="31"/>
  <c r="I27" i="31"/>
  <c r="I28" i="31"/>
  <c r="I29" i="31"/>
  <c r="I24" i="31"/>
  <c r="D43" i="5"/>
  <c r="D42" i="5"/>
  <c r="D27" i="5"/>
  <c r="D19" i="5"/>
  <c r="B1" i="37"/>
  <c r="B1" i="36"/>
  <c r="S35" i="37"/>
  <c r="Q35" i="37"/>
  <c r="O35" i="37"/>
  <c r="N35" i="37"/>
  <c r="M35" i="37"/>
  <c r="G32" i="37"/>
  <c r="G31" i="37"/>
  <c r="G28" i="37"/>
  <c r="K25" i="37"/>
  <c r="J25" i="37"/>
  <c r="I25" i="37"/>
  <c r="D25" i="37"/>
  <c r="C25" i="37"/>
  <c r="K24" i="37"/>
  <c r="J24" i="37"/>
  <c r="I24" i="37"/>
  <c r="D24" i="37"/>
  <c r="C24" i="37"/>
  <c r="K22" i="37"/>
  <c r="J22" i="37"/>
  <c r="I22" i="37"/>
  <c r="D22" i="37"/>
  <c r="G22" i="37" s="1"/>
  <c r="C22" i="37"/>
  <c r="K21" i="37"/>
  <c r="J21" i="37"/>
  <c r="I21" i="37"/>
  <c r="D21" i="37"/>
  <c r="C21" i="37"/>
  <c r="K20" i="37"/>
  <c r="J20" i="37"/>
  <c r="I20" i="37"/>
  <c r="D20" i="37"/>
  <c r="C20" i="37"/>
  <c r="G20" i="37" s="1"/>
  <c r="K19" i="37"/>
  <c r="J19" i="37"/>
  <c r="I19" i="37"/>
  <c r="D19" i="37"/>
  <c r="C19" i="37"/>
  <c r="K18" i="37"/>
  <c r="J18" i="37"/>
  <c r="I18" i="37"/>
  <c r="D18" i="37"/>
  <c r="G18" i="37" s="1"/>
  <c r="C18" i="37"/>
  <c r="A18" i="37"/>
  <c r="A19" i="37" s="1"/>
  <c r="A20" i="37" s="1"/>
  <c r="A21" i="37" s="1"/>
  <c r="A22" i="37" s="1"/>
  <c r="A23" i="37" s="1"/>
  <c r="A24" i="37" s="1"/>
  <c r="K17" i="37"/>
  <c r="J17" i="37"/>
  <c r="I17" i="37"/>
  <c r="D17" i="37"/>
  <c r="C17" i="37"/>
  <c r="S89" i="36"/>
  <c r="R89" i="36"/>
  <c r="E52" i="5" s="1"/>
  <c r="Q89" i="36"/>
  <c r="O89" i="36"/>
  <c r="N89" i="36"/>
  <c r="G52" i="5" s="1"/>
  <c r="M89" i="36"/>
  <c r="F89" i="36"/>
  <c r="E89" i="36"/>
  <c r="K87" i="36"/>
  <c r="J87" i="36"/>
  <c r="I87" i="36"/>
  <c r="D87" i="36"/>
  <c r="C87" i="36"/>
  <c r="K86" i="36"/>
  <c r="J86" i="36"/>
  <c r="I86" i="36"/>
  <c r="D86" i="36"/>
  <c r="D89" i="36" s="1"/>
  <c r="C86" i="36"/>
  <c r="F73" i="36"/>
  <c r="E73" i="36"/>
  <c r="G73" i="36"/>
  <c r="K72" i="36"/>
  <c r="J72" i="36"/>
  <c r="I72" i="36"/>
  <c r="D72" i="36"/>
  <c r="C72" i="36"/>
  <c r="A72" i="36"/>
  <c r="A73" i="36"/>
  <c r="S69" i="36"/>
  <c r="S75" i="36" s="1"/>
  <c r="R69" i="36"/>
  <c r="R75" i="36" s="1"/>
  <c r="Q69" i="36"/>
  <c r="Q75" i="36" s="1"/>
  <c r="O69" i="36"/>
  <c r="O75" i="36" s="1"/>
  <c r="N75" i="36"/>
  <c r="M69" i="36"/>
  <c r="M75" i="36" s="1"/>
  <c r="F66" i="36"/>
  <c r="F69" i="36" s="1"/>
  <c r="F75" i="36" s="1"/>
  <c r="E66" i="36"/>
  <c r="G65" i="36"/>
  <c r="G64" i="36"/>
  <c r="G62" i="36"/>
  <c r="K58" i="36"/>
  <c r="J58" i="36"/>
  <c r="I58" i="36"/>
  <c r="D58" i="36"/>
  <c r="C58" i="36"/>
  <c r="K57" i="36"/>
  <c r="J57" i="36"/>
  <c r="I57" i="36"/>
  <c r="D57" i="36"/>
  <c r="C57" i="36"/>
  <c r="G57" i="36" s="1"/>
  <c r="A57" i="36"/>
  <c r="A58" i="36" s="1"/>
  <c r="K56" i="36"/>
  <c r="J56" i="36"/>
  <c r="I56" i="36"/>
  <c r="I69" i="36" s="1"/>
  <c r="I75" i="36" s="1"/>
  <c r="D56" i="36"/>
  <c r="C56" i="36"/>
  <c r="A52" i="36"/>
  <c r="D26" i="5" s="1"/>
  <c r="S51" i="36"/>
  <c r="R51" i="36"/>
  <c r="Q51" i="36"/>
  <c r="O51" i="36"/>
  <c r="M51" i="36"/>
  <c r="F51" i="36"/>
  <c r="E51" i="36"/>
  <c r="K43" i="36"/>
  <c r="J43" i="36"/>
  <c r="I43" i="36"/>
  <c r="D43" i="36"/>
  <c r="C43" i="36"/>
  <c r="K42" i="36"/>
  <c r="J42" i="36"/>
  <c r="I42" i="36"/>
  <c r="D42" i="36"/>
  <c r="C42" i="36"/>
  <c r="K41" i="36"/>
  <c r="J41" i="36"/>
  <c r="I41" i="36"/>
  <c r="D41" i="36"/>
  <c r="G41" i="36" s="1"/>
  <c r="C41"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I51" i="36"/>
  <c r="K28" i="36"/>
  <c r="J28" i="36"/>
  <c r="I28" i="36"/>
  <c r="D28" i="36"/>
  <c r="C28" i="36"/>
  <c r="A24" i="36"/>
  <c r="D18" i="5"/>
  <c r="S23" i="36"/>
  <c r="R23" i="36"/>
  <c r="Q23" i="36"/>
  <c r="O23" i="36"/>
  <c r="N23" i="36"/>
  <c r="M23" i="36"/>
  <c r="F21" i="36"/>
  <c r="E21" i="36"/>
  <c r="G21" i="36"/>
  <c r="F20" i="36"/>
  <c r="E20" i="36"/>
  <c r="F19" i="36"/>
  <c r="F23" i="36" s="1"/>
  <c r="E19" i="36"/>
  <c r="K17" i="36"/>
  <c r="K23" i="36"/>
  <c r="J17" i="36"/>
  <c r="J23" i="36" s="1"/>
  <c r="I17" i="36"/>
  <c r="I23" i="36" s="1"/>
  <c r="D17" i="36"/>
  <c r="D23" i="36" s="1"/>
  <c r="C17" i="36"/>
  <c r="C23" i="36" s="1"/>
  <c r="B21" i="7"/>
  <c r="B11" i="7"/>
  <c r="K27" i="8"/>
  <c r="K31" i="8" s="1"/>
  <c r="G15" i="2" s="1"/>
  <c r="L15" i="2" s="1"/>
  <c r="I27" i="8"/>
  <c r="I31" i="8" s="1"/>
  <c r="E68" i="9"/>
  <c r="G10" i="5"/>
  <c r="E10" i="5"/>
  <c r="C9" i="7"/>
  <c r="D12" i="9"/>
  <c r="E17" i="2"/>
  <c r="A91" i="34"/>
  <c r="M54" i="11"/>
  <c r="I12" i="6"/>
  <c r="G12" i="6"/>
  <c r="I10" i="5"/>
  <c r="D101" i="20"/>
  <c r="C101" i="20"/>
  <c r="C102" i="20"/>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E86" i="31"/>
  <c r="E38" i="11"/>
  <c r="K38" i="11" s="1"/>
  <c r="D297" i="2"/>
  <c r="C60" i="20"/>
  <c r="A4" i="34"/>
  <c r="C47" i="20"/>
  <c r="D60" i="6"/>
  <c r="B58" i="6" s="1"/>
  <c r="D36" i="6"/>
  <c r="B34" i="6" s="1"/>
  <c r="C29" i="6"/>
  <c r="C30" i="6"/>
  <c r="L17" i="2"/>
  <c r="A4" i="21"/>
  <c r="B4" i="14"/>
  <c r="A4" i="20"/>
  <c r="F16" i="20"/>
  <c r="F18" i="20" s="1"/>
  <c r="E23" i="20" s="1"/>
  <c r="A4" i="12"/>
  <c r="A4" i="31"/>
  <c r="A4" i="11"/>
  <c r="A4" i="10"/>
  <c r="A4" i="9"/>
  <c r="A4" i="8"/>
  <c r="A4" i="7"/>
  <c r="A4" i="6"/>
  <c r="E12" i="6"/>
  <c r="A4" i="5"/>
  <c r="J150" i="2"/>
  <c r="L150" i="2" s="1"/>
  <c r="F7" i="2"/>
  <c r="F53" i="2" s="1"/>
  <c r="F117" i="2" s="1"/>
  <c r="F196" i="2" s="1"/>
  <c r="F259" i="2"/>
  <c r="C112" i="34"/>
  <c r="J24" i="34"/>
  <c r="E198" i="34"/>
  <c r="E186" i="34"/>
  <c r="G79" i="6"/>
  <c r="G30" i="6" s="1"/>
  <c r="H214" i="2"/>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E66" i="11"/>
  <c r="E56" i="11"/>
  <c r="I66" i="11"/>
  <c r="I56" i="11"/>
  <c r="C50" i="11"/>
  <c r="M41" i="11"/>
  <c r="L214" i="2"/>
  <c r="L216" i="2"/>
  <c r="C31" i="34"/>
  <c r="C37" i="34"/>
  <c r="C38" i="34"/>
  <c r="C43" i="34"/>
  <c r="C49" i="34"/>
  <c r="E31" i="34"/>
  <c r="E32" i="34"/>
  <c r="E37" i="34"/>
  <c r="E43" i="34"/>
  <c r="E44" i="34" s="1"/>
  <c r="E49" i="34"/>
  <c r="E50" i="34"/>
  <c r="F31" i="34"/>
  <c r="F52" i="34" s="1"/>
  <c r="F80" i="34" s="1"/>
  <c r="F37" i="34"/>
  <c r="F38" i="34" s="1"/>
  <c r="F43" i="34"/>
  <c r="F49" i="34"/>
  <c r="F50" i="34" s="1"/>
  <c r="G31" i="34"/>
  <c r="G32" i="34" s="1"/>
  <c r="G37" i="34"/>
  <c r="G38" i="34" s="1"/>
  <c r="G43" i="34"/>
  <c r="G49" i="34"/>
  <c r="H31" i="34"/>
  <c r="H32" i="34" s="1"/>
  <c r="H37" i="34"/>
  <c r="H43" i="34"/>
  <c r="H49" i="34"/>
  <c r="H50" i="34"/>
  <c r="I31" i="34"/>
  <c r="I37" i="34"/>
  <c r="I38" i="34"/>
  <c r="I43" i="34"/>
  <c r="I44" i="34" s="1"/>
  <c r="I49" i="34"/>
  <c r="I50" i="34"/>
  <c r="F11" i="10"/>
  <c r="F15" i="10"/>
  <c r="F19" i="10"/>
  <c r="F23" i="10"/>
  <c r="F27" i="10"/>
  <c r="C14" i="34"/>
  <c r="C63" i="34" s="1"/>
  <c r="J10" i="34"/>
  <c r="J9" i="34"/>
  <c r="J11" i="34"/>
  <c r="J14" i="34" s="1"/>
  <c r="J63" i="34" s="1"/>
  <c r="J13" i="34"/>
  <c r="J56" i="34"/>
  <c r="J58" i="34"/>
  <c r="J59" i="34"/>
  <c r="F14" i="34"/>
  <c r="F63" i="34"/>
  <c r="G14" i="34"/>
  <c r="G63" i="34" s="1"/>
  <c r="H14" i="34"/>
  <c r="H63" i="34" s="1"/>
  <c r="I14" i="34"/>
  <c r="I63" i="34" s="1"/>
  <c r="J19" i="34"/>
  <c r="J20" i="34"/>
  <c r="J21" i="34"/>
  <c r="J22" i="34"/>
  <c r="J23" i="34"/>
  <c r="F217" i="2"/>
  <c r="G217" i="2"/>
  <c r="G55" i="6"/>
  <c r="G29" i="6" s="1"/>
  <c r="C21" i="7"/>
  <c r="C23" i="7" s="1"/>
  <c r="G110" i="2" s="1"/>
  <c r="L110" i="2" s="1"/>
  <c r="O17" i="21"/>
  <c r="O22" i="21"/>
  <c r="O33" i="21" s="1"/>
  <c r="G187" i="2" s="1"/>
  <c r="O27" i="21"/>
  <c r="E50" i="31"/>
  <c r="E26" i="11" s="1"/>
  <c r="I26" i="11" s="1"/>
  <c r="E52" i="31"/>
  <c r="E27" i="11"/>
  <c r="I27" i="11" s="1"/>
  <c r="E54" i="31"/>
  <c r="E28" i="11" s="1"/>
  <c r="I28" i="11" s="1"/>
  <c r="E37" i="31"/>
  <c r="E23" i="31"/>
  <c r="E20" i="11" s="1"/>
  <c r="G20" i="11" s="1"/>
  <c r="E30" i="31"/>
  <c r="E21" i="11" s="1"/>
  <c r="G21" i="11" s="1"/>
  <c r="E14" i="31"/>
  <c r="E59" i="31"/>
  <c r="E31" i="11"/>
  <c r="M31" i="11" s="1"/>
  <c r="E62" i="31"/>
  <c r="E34" i="11" s="1"/>
  <c r="M34" i="11"/>
  <c r="E89" i="31"/>
  <c r="E39" i="11" s="1"/>
  <c r="M39" i="11" s="1"/>
  <c r="E95" i="31"/>
  <c r="E40" i="11" s="1"/>
  <c r="M40" i="11" s="1"/>
  <c r="E65" i="31"/>
  <c r="E35" i="11"/>
  <c r="K35" i="11" s="1"/>
  <c r="E69" i="31"/>
  <c r="E36" i="11"/>
  <c r="K36" i="11" s="1"/>
  <c r="E81" i="31"/>
  <c r="E37" i="11" s="1"/>
  <c r="K37" i="11" s="1"/>
  <c r="G143" i="2"/>
  <c r="G144" i="2"/>
  <c r="A10" i="34"/>
  <c r="A11" i="34"/>
  <c r="E133" i="2"/>
  <c r="F118" i="34"/>
  <c r="F119" i="34" s="1"/>
  <c r="F124" i="34"/>
  <c r="F125" i="34" s="1"/>
  <c r="F130" i="34"/>
  <c r="F131" i="34"/>
  <c r="F136" i="34"/>
  <c r="F137" i="34" s="1"/>
  <c r="F183" i="34"/>
  <c r="F184" i="34"/>
  <c r="F185" i="34"/>
  <c r="F188" i="34"/>
  <c r="F213" i="34" s="1"/>
  <c r="F216" i="34" s="1"/>
  <c r="F186" i="34"/>
  <c r="F187" i="34"/>
  <c r="F206" i="34"/>
  <c r="F208" i="34"/>
  <c r="F209" i="34"/>
  <c r="F193" i="34"/>
  <c r="F194" i="34"/>
  <c r="F195" i="34"/>
  <c r="F196" i="34"/>
  <c r="F197" i="34"/>
  <c r="F198" i="34"/>
  <c r="E118" i="34"/>
  <c r="E119" i="34" s="1"/>
  <c r="E124" i="34"/>
  <c r="E125" i="34" s="1"/>
  <c r="E140" i="34" s="1"/>
  <c r="E130" i="34"/>
  <c r="E136" i="34"/>
  <c r="E137" i="34" s="1"/>
  <c r="G118" i="34"/>
  <c r="G119" i="34" s="1"/>
  <c r="G124" i="34"/>
  <c r="G125" i="34" s="1"/>
  <c r="G130" i="34"/>
  <c r="G131" i="34" s="1"/>
  <c r="G136" i="34"/>
  <c r="H118" i="34"/>
  <c r="H119" i="34" s="1"/>
  <c r="H140" i="34" s="1"/>
  <c r="H124" i="34"/>
  <c r="H125" i="34" s="1"/>
  <c r="H130" i="34"/>
  <c r="H131" i="34"/>
  <c r="H136" i="34"/>
  <c r="H137" i="34"/>
  <c r="I118" i="34"/>
  <c r="I119" i="34"/>
  <c r="I124" i="34"/>
  <c r="I130" i="34"/>
  <c r="I131" i="34" s="1"/>
  <c r="I136" i="34"/>
  <c r="I137" i="34" s="1"/>
  <c r="C118" i="34"/>
  <c r="C124" i="34"/>
  <c r="C130" i="34"/>
  <c r="C131" i="34" s="1"/>
  <c r="C136" i="34"/>
  <c r="A201" i="34"/>
  <c r="E194" i="34"/>
  <c r="G194" i="34"/>
  <c r="H194" i="34"/>
  <c r="I194" i="34"/>
  <c r="I199" i="34" s="1"/>
  <c r="E195" i="34"/>
  <c r="G195" i="34"/>
  <c r="H195" i="34"/>
  <c r="I195" i="34"/>
  <c r="E196" i="34"/>
  <c r="G196" i="34"/>
  <c r="H196" i="34"/>
  <c r="I196" i="34"/>
  <c r="J196" i="34" s="1"/>
  <c r="E197" i="34"/>
  <c r="G197" i="34"/>
  <c r="H197" i="34"/>
  <c r="I197" i="34"/>
  <c r="G198" i="34"/>
  <c r="H198" i="34"/>
  <c r="I198" i="34"/>
  <c r="E193" i="34"/>
  <c r="E199" i="34" s="1"/>
  <c r="G193" i="34"/>
  <c r="H193" i="34"/>
  <c r="I193" i="34"/>
  <c r="C197" i="34"/>
  <c r="J197" i="34" s="1"/>
  <c r="C195" i="34"/>
  <c r="C196" i="34"/>
  <c r="C194" i="34"/>
  <c r="C193" i="34"/>
  <c r="B199" i="34"/>
  <c r="B196" i="34"/>
  <c r="B197" i="34"/>
  <c r="B198" i="34"/>
  <c r="B194" i="34"/>
  <c r="B195" i="34"/>
  <c r="A192" i="34"/>
  <c r="B193" i="34"/>
  <c r="B9" i="32"/>
  <c r="B3" i="32"/>
  <c r="A13" i="10"/>
  <c r="A17" i="10"/>
  <c r="A21" i="10" s="1"/>
  <c r="A25" i="10" s="1"/>
  <c r="C183" i="34"/>
  <c r="E183" i="34"/>
  <c r="G183" i="34"/>
  <c r="H183" i="34"/>
  <c r="I183" i="34"/>
  <c r="C184" i="34"/>
  <c r="E184" i="34"/>
  <c r="G184" i="34"/>
  <c r="H184" i="34"/>
  <c r="I184" i="34"/>
  <c r="C185" i="34"/>
  <c r="E185" i="34"/>
  <c r="G185" i="34"/>
  <c r="H185" i="34"/>
  <c r="I185" i="34"/>
  <c r="C186" i="34"/>
  <c r="J186" i="34" s="1"/>
  <c r="G186" i="34"/>
  <c r="H186" i="34"/>
  <c r="I186" i="34"/>
  <c r="C187" i="34"/>
  <c r="J187" i="34"/>
  <c r="E187" i="34"/>
  <c r="G187" i="34"/>
  <c r="H187" i="34"/>
  <c r="I187" i="34"/>
  <c r="C206" i="34"/>
  <c r="J206" i="34"/>
  <c r="L244" i="2" s="1"/>
  <c r="E206" i="34"/>
  <c r="G206" i="34"/>
  <c r="H206" i="34"/>
  <c r="I206" i="34"/>
  <c r="C208" i="34"/>
  <c r="J208" i="34"/>
  <c r="L246" i="2" s="1"/>
  <c r="E208" i="34"/>
  <c r="G208" i="34"/>
  <c r="H208" i="34"/>
  <c r="I208" i="34"/>
  <c r="C209" i="34"/>
  <c r="J209" i="34" s="1"/>
  <c r="L247" i="2" s="1"/>
  <c r="E209" i="34"/>
  <c r="G209" i="34"/>
  <c r="H209" i="34"/>
  <c r="I209" i="34"/>
  <c r="J96" i="34"/>
  <c r="J101" i="34" s="1"/>
  <c r="J150" i="34" s="1"/>
  <c r="J97" i="34"/>
  <c r="J98" i="34"/>
  <c r="J99" i="34"/>
  <c r="J100" i="34"/>
  <c r="J143" i="34"/>
  <c r="J145" i="34"/>
  <c r="J146" i="34"/>
  <c r="A6" i="12"/>
  <c r="F25" i="34"/>
  <c r="G25" i="34"/>
  <c r="H25" i="34"/>
  <c r="I25" i="34"/>
  <c r="I79" i="34" s="1"/>
  <c r="C101" i="34"/>
  <c r="C150" i="34" s="1"/>
  <c r="E101" i="34"/>
  <c r="E150" i="34"/>
  <c r="F101" i="34"/>
  <c r="G101" i="34"/>
  <c r="G150" i="34" s="1"/>
  <c r="H101" i="34"/>
  <c r="H150" i="34" s="1"/>
  <c r="I101" i="34"/>
  <c r="I150" i="34" s="1"/>
  <c r="J106" i="34"/>
  <c r="J107" i="34"/>
  <c r="J108" i="34"/>
  <c r="J109" i="34"/>
  <c r="J110" i="34"/>
  <c r="J111" i="34"/>
  <c r="E112" i="34"/>
  <c r="E166" i="34" s="1"/>
  <c r="F112" i="34"/>
  <c r="G112" i="34"/>
  <c r="H112" i="34"/>
  <c r="I112" i="34"/>
  <c r="I166" i="34"/>
  <c r="O3" i="21"/>
  <c r="N3" i="21"/>
  <c r="M3" i="21"/>
  <c r="L3" i="21"/>
  <c r="K3" i="21"/>
  <c r="J3" i="21"/>
  <c r="I3" i="21"/>
  <c r="H3" i="21"/>
  <c r="G3" i="21"/>
  <c r="F3" i="21"/>
  <c r="E3" i="21"/>
  <c r="D3" i="21"/>
  <c r="C3" i="21"/>
  <c r="B3" i="21"/>
  <c r="A3" i="21"/>
  <c r="E3" i="14"/>
  <c r="D3" i="14"/>
  <c r="C3" i="14"/>
  <c r="B3" i="14"/>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7" i="6"/>
  <c r="G101" i="2" s="1"/>
  <c r="I19" i="6"/>
  <c r="G102" i="2" s="1"/>
  <c r="I21" i="6"/>
  <c r="G103" i="2" s="1"/>
  <c r="G185" i="2"/>
  <c r="L185" i="2"/>
  <c r="G133" i="2"/>
  <c r="G142" i="2"/>
  <c r="F101" i="31"/>
  <c r="E98" i="31"/>
  <c r="A14" i="31"/>
  <c r="A22" i="31" s="1"/>
  <c r="A23" i="31" s="1"/>
  <c r="A30" i="31" s="1"/>
  <c r="I50" i="5"/>
  <c r="K33" i="21"/>
  <c r="A22" i="21"/>
  <c r="A27" i="21"/>
  <c r="A33" i="21" s="1"/>
  <c r="D187" i="2" s="1"/>
  <c r="A6" i="21"/>
  <c r="L26" i="20"/>
  <c r="I362" i="20" s="1"/>
  <c r="O8" i="20"/>
  <c r="C11" i="20"/>
  <c r="C14" i="20"/>
  <c r="C18" i="20"/>
  <c r="C26" i="20"/>
  <c r="C32" i="20"/>
  <c r="C42" i="20"/>
  <c r="C43" i="20"/>
  <c r="C53" i="20"/>
  <c r="C55" i="20"/>
  <c r="C58" i="20"/>
  <c r="C62" i="20"/>
  <c r="C65" i="20"/>
  <c r="C66" i="20"/>
  <c r="C68" i="20"/>
  <c r="C69" i="20"/>
  <c r="C71" i="20"/>
  <c r="N82" i="20"/>
  <c r="O82" i="20"/>
  <c r="H213" i="2"/>
  <c r="J13" i="8"/>
  <c r="A15" i="8"/>
  <c r="A17" i="8" s="1"/>
  <c r="J15" i="8"/>
  <c r="A27" i="8"/>
  <c r="A29" i="8" s="1"/>
  <c r="A31" i="8" s="1"/>
  <c r="E15" i="2" s="1"/>
  <c r="J17" i="8"/>
  <c r="J19" i="8"/>
  <c r="J29" i="8"/>
  <c r="A15" i="7"/>
  <c r="A17" i="7"/>
  <c r="A18" i="7" s="1"/>
  <c r="A19" i="7" s="1"/>
  <c r="A21" i="7" s="1"/>
  <c r="A17" i="6"/>
  <c r="A19" i="6" s="1"/>
  <c r="A17" i="5"/>
  <c r="A18" i="5" s="1"/>
  <c r="A19" i="5" s="1"/>
  <c r="A20" i="5" s="1"/>
  <c r="F51" i="2"/>
  <c r="F115" i="2" s="1"/>
  <c r="F194" i="2" s="1"/>
  <c r="F257" i="2" s="1"/>
  <c r="F52" i="2"/>
  <c r="F116" i="2" s="1"/>
  <c r="F195" i="2" s="1"/>
  <c r="F258" i="2" s="1"/>
  <c r="F55" i="2"/>
  <c r="F119" i="2"/>
  <c r="F198" i="2" s="1"/>
  <c r="F261" i="2" s="1"/>
  <c r="B61" i="2"/>
  <c r="B125" i="2" s="1"/>
  <c r="B62" i="2"/>
  <c r="B126" i="2" s="1"/>
  <c r="D71" i="2"/>
  <c r="D79" i="2" s="1"/>
  <c r="D73" i="2"/>
  <c r="D80" i="2" s="1"/>
  <c r="D75" i="2"/>
  <c r="D81" i="2" s="1"/>
  <c r="E123" i="2"/>
  <c r="L123" i="2"/>
  <c r="E124" i="2"/>
  <c r="G124" i="2"/>
  <c r="I124" i="2"/>
  <c r="L124" i="2"/>
  <c r="D154" i="2"/>
  <c r="H216" i="2"/>
  <c r="B15" i="2"/>
  <c r="B17" i="2" s="1"/>
  <c r="B18" i="2" s="1"/>
  <c r="B24" i="2" s="1"/>
  <c r="B26" i="2" s="1"/>
  <c r="B27" i="2" s="1"/>
  <c r="E25" i="34"/>
  <c r="E14" i="34"/>
  <c r="E63" i="34" s="1"/>
  <c r="J12" i="34"/>
  <c r="C25" i="34"/>
  <c r="C198" i="34"/>
  <c r="D55" i="6"/>
  <c r="D29" i="6" s="1"/>
  <c r="D79" i="6"/>
  <c r="D30" i="6" s="1"/>
  <c r="J183" i="34"/>
  <c r="E23" i="39"/>
  <c r="L228" i="2" s="1"/>
  <c r="D23" i="39"/>
  <c r="E74" i="39" s="1"/>
  <c r="E76" i="39" s="1"/>
  <c r="G17" i="39"/>
  <c r="G42" i="39"/>
  <c r="D42" i="39"/>
  <c r="C42" i="39"/>
  <c r="F23" i="39"/>
  <c r="L229" i="2" s="1"/>
  <c r="E61" i="11"/>
  <c r="E63" i="11" s="1"/>
  <c r="E65" i="11" s="1"/>
  <c r="F79" i="34"/>
  <c r="G17" i="36"/>
  <c r="G61" i="36"/>
  <c r="E64" i="2"/>
  <c r="C494" i="20"/>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C226" i="20"/>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668" i="20"/>
  <c r="C669" i="20"/>
  <c r="C670" i="20" s="1"/>
  <c r="C671" i="20" s="1"/>
  <c r="C672" i="20" s="1"/>
  <c r="C673" i="20" s="1"/>
  <c r="C674" i="20" s="1"/>
  <c r="C675" i="20" s="1"/>
  <c r="C676" i="20"/>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J54" i="35"/>
  <c r="G137" i="34"/>
  <c r="J184" i="34"/>
  <c r="F44" i="34"/>
  <c r="C50" i="34"/>
  <c r="C166" i="34"/>
  <c r="I125" i="34"/>
  <c r="I139" i="34"/>
  <c r="I167" i="34" s="1"/>
  <c r="I77" i="20"/>
  <c r="A82" i="20"/>
  <c r="I144" i="34"/>
  <c r="I147" i="34" s="1"/>
  <c r="I152" i="34"/>
  <c r="A77" i="38"/>
  <c r="A78" i="38" s="1"/>
  <c r="A79" i="38" s="1"/>
  <c r="A80" i="38" s="1"/>
  <c r="E93" i="2"/>
  <c r="E22" i="11"/>
  <c r="G22" i="11" s="1"/>
  <c r="F80" i="38"/>
  <c r="G95" i="2" s="1"/>
  <c r="L95" i="2" s="1"/>
  <c r="E226" i="2"/>
  <c r="E227" i="2"/>
  <c r="E229" i="2"/>
  <c r="J49" i="34"/>
  <c r="G50" i="34"/>
  <c r="E131" i="2"/>
  <c r="A12" i="34"/>
  <c r="A13" i="34" s="1"/>
  <c r="I32" i="34"/>
  <c r="I53" i="34" s="1"/>
  <c r="I203" i="34" s="1"/>
  <c r="D20" i="5"/>
  <c r="H199" i="34"/>
  <c r="J136" i="34"/>
  <c r="C137" i="34"/>
  <c r="C125" i="34"/>
  <c r="H44" i="34"/>
  <c r="I151" i="34"/>
  <c r="H79" i="34"/>
  <c r="E131" i="34"/>
  <c r="J130" i="34"/>
  <c r="F64" i="34"/>
  <c r="E101" i="2"/>
  <c r="E23" i="11"/>
  <c r="G23" i="11"/>
  <c r="G79" i="34"/>
  <c r="F139" i="34"/>
  <c r="F144" i="34" s="1"/>
  <c r="F147" i="34" s="1"/>
  <c r="F152" i="34" s="1"/>
  <c r="A14" i="34"/>
  <c r="B63" i="34" s="1"/>
  <c r="F151" i="34"/>
  <c r="F167" i="34"/>
  <c r="A16" i="34"/>
  <c r="E67" i="9"/>
  <c r="H37" i="39"/>
  <c r="I18" i="5"/>
  <c r="H29" i="39"/>
  <c r="I34" i="5"/>
  <c r="G11" i="39"/>
  <c r="H30" i="39"/>
  <c r="G10" i="39"/>
  <c r="G141" i="2"/>
  <c r="C739" i="13"/>
  <c r="C740" i="13" s="1"/>
  <c r="C741" i="13" s="1"/>
  <c r="C742" i="13" s="1"/>
  <c r="C743" i="13" s="1"/>
  <c r="C744" i="13" s="1"/>
  <c r="C745" i="13" s="1"/>
  <c r="C746" i="13" s="1"/>
  <c r="C747" i="13" s="1"/>
  <c r="C748" i="13" s="1"/>
  <c r="C749" i="13" s="1"/>
  <c r="C750" i="13" s="1"/>
  <c r="C751" i="13" s="1"/>
  <c r="C752" i="13" s="1"/>
  <c r="C753" i="13" s="1"/>
  <c r="C754" i="13" s="1"/>
  <c r="C755" i="13" s="1"/>
  <c r="C756" i="13" s="1"/>
  <c r="C757" i="13" s="1"/>
  <c r="C758" i="13" s="1"/>
  <c r="C759" i="13" s="1"/>
  <c r="C760" i="13" s="1"/>
  <c r="C761" i="13" s="1"/>
  <c r="C762" i="13" s="1"/>
  <c r="C763" i="13" s="1"/>
  <c r="C764" i="13" s="1"/>
  <c r="C765" i="13" s="1"/>
  <c r="C766" i="13" s="1"/>
  <c r="C767" i="13" s="1"/>
  <c r="C768" i="13" s="1"/>
  <c r="N697" i="13"/>
  <c r="M697" i="13"/>
  <c r="C652" i="13"/>
  <c r="C653" i="13" s="1"/>
  <c r="C654" i="13" s="1"/>
  <c r="C655" i="13" s="1"/>
  <c r="C656" i="13" s="1"/>
  <c r="C657" i="13" s="1"/>
  <c r="C658" i="13" s="1"/>
  <c r="C659" i="13" s="1"/>
  <c r="C660" i="13" s="1"/>
  <c r="C661" i="13" s="1"/>
  <c r="C662" i="13" s="1"/>
  <c r="C663" i="13" s="1"/>
  <c r="C664" i="13" s="1"/>
  <c r="C665" i="13" s="1"/>
  <c r="C666" i="13" s="1"/>
  <c r="C667" i="13" s="1"/>
  <c r="C668" i="13" s="1"/>
  <c r="C669" i="13" s="1"/>
  <c r="C670" i="13" s="1"/>
  <c r="C671" i="13" s="1"/>
  <c r="C672" i="13" s="1"/>
  <c r="C673" i="13" s="1"/>
  <c r="C674" i="13" s="1"/>
  <c r="C675" i="13" s="1"/>
  <c r="C676" i="13" s="1"/>
  <c r="C677" i="13" s="1"/>
  <c r="C678" i="13" s="1"/>
  <c r="C679" i="13" s="1"/>
  <c r="C680" i="13" s="1"/>
  <c r="C681" i="13" s="1"/>
  <c r="C565" i="13"/>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C594" i="13" s="1"/>
  <c r="C391" i="13"/>
  <c r="C392" i="13" s="1"/>
  <c r="C393" i="13" s="1"/>
  <c r="C394" i="13" s="1"/>
  <c r="C395" i="13" s="1"/>
  <c r="C396" i="13"/>
  <c r="C397" i="13" s="1"/>
  <c r="C398" i="13" s="1"/>
  <c r="C399" i="13" s="1"/>
  <c r="C400" i="13" s="1"/>
  <c r="C401" i="13" s="1"/>
  <c r="C402" i="13" s="1"/>
  <c r="C403" i="13" s="1"/>
  <c r="C404" i="13"/>
  <c r="C405" i="13" s="1"/>
  <c r="C406" i="13" s="1"/>
  <c r="C407" i="13" s="1"/>
  <c r="C408" i="13" s="1"/>
  <c r="C409" i="13" s="1"/>
  <c r="C410" i="13" s="1"/>
  <c r="C411" i="13" s="1"/>
  <c r="C412" i="13" s="1"/>
  <c r="C413" i="13" s="1"/>
  <c r="C414" i="13" s="1"/>
  <c r="C415" i="13" s="1"/>
  <c r="C416" i="13" s="1"/>
  <c r="C417" i="13" s="1"/>
  <c r="C418" i="13" s="1"/>
  <c r="C419" i="13" s="1"/>
  <c r="C420" i="13" s="1"/>
  <c r="N349" i="13"/>
  <c r="C304" i="13"/>
  <c r="C305" i="13"/>
  <c r="C306" i="13" s="1"/>
  <c r="C307" i="13" s="1"/>
  <c r="C308" i="13" s="1"/>
  <c r="C309" i="13" s="1"/>
  <c r="C310" i="13" s="1"/>
  <c r="C311" i="13" s="1"/>
  <c r="C312" i="13" s="1"/>
  <c r="C313" i="13"/>
  <c r="C314" i="13" s="1"/>
  <c r="C315" i="13" s="1"/>
  <c r="C316" i="13" s="1"/>
  <c r="C317" i="13" s="1"/>
  <c r="C318" i="13" s="1"/>
  <c r="C319" i="13" s="1"/>
  <c r="C320" i="13" s="1"/>
  <c r="C321" i="13" s="1"/>
  <c r="C322" i="13" s="1"/>
  <c r="C323" i="13" s="1"/>
  <c r="C324" i="13" s="1"/>
  <c r="C325" i="13" s="1"/>
  <c r="C326" i="13" s="1"/>
  <c r="C327" i="13" s="1"/>
  <c r="C328" i="13" s="1"/>
  <c r="C329" i="13" s="1"/>
  <c r="C330" i="13" s="1"/>
  <c r="C331" i="13" s="1"/>
  <c r="C332" i="13" s="1"/>
  <c r="C333" i="13" s="1"/>
  <c r="C217" i="13"/>
  <c r="C218" i="13" s="1"/>
  <c r="C219" i="13" s="1"/>
  <c r="C220" i="13" s="1"/>
  <c r="C221" i="13" s="1"/>
  <c r="C222" i="13" s="1"/>
  <c r="C223" i="13" s="1"/>
  <c r="C224" i="13" s="1"/>
  <c r="C225" i="13" s="1"/>
  <c r="C226" i="13" s="1"/>
  <c r="C227" i="13" s="1"/>
  <c r="C228" i="13" s="1"/>
  <c r="C229" i="13" s="1"/>
  <c r="C230" i="13" s="1"/>
  <c r="C231" i="13" s="1"/>
  <c r="C232" i="13" s="1"/>
  <c r="C233" i="13" s="1"/>
  <c r="C234" i="13" s="1"/>
  <c r="C235" i="13" s="1"/>
  <c r="C236" i="13" s="1"/>
  <c r="C237" i="13" s="1"/>
  <c r="C238" i="13" s="1"/>
  <c r="C239" i="13" s="1"/>
  <c r="C240" i="13" s="1"/>
  <c r="C241" i="13" s="1"/>
  <c r="C242" i="13" s="1"/>
  <c r="C243" i="13" s="1"/>
  <c r="C244" i="13" s="1"/>
  <c r="C245" i="13" s="1"/>
  <c r="C246" i="13" s="1"/>
  <c r="O361" i="13"/>
  <c r="M361" i="13"/>
  <c r="P100" i="13"/>
  <c r="P101" i="13"/>
  <c r="P102" i="13"/>
  <c r="P103" i="13"/>
  <c r="F73" i="9"/>
  <c r="G145" i="2" s="1"/>
  <c r="D73" i="9"/>
  <c r="G13" i="39"/>
  <c r="C23" i="39"/>
  <c r="L226" i="2" s="1"/>
  <c r="G71" i="2"/>
  <c r="E23" i="38"/>
  <c r="G65" i="2" s="1"/>
  <c r="C23" i="38"/>
  <c r="G63" i="2" s="1"/>
  <c r="G68" i="2" s="1"/>
  <c r="G130" i="2"/>
  <c r="H36" i="39"/>
  <c r="J55" i="6"/>
  <c r="J29" i="6" s="1"/>
  <c r="A81" i="13"/>
  <c r="C913" i="13"/>
  <c r="C914" i="13" s="1"/>
  <c r="C915" i="13" s="1"/>
  <c r="C916" i="13" s="1"/>
  <c r="C917" i="13" s="1"/>
  <c r="C918" i="13" s="1"/>
  <c r="C919" i="13" s="1"/>
  <c r="C920" i="13" s="1"/>
  <c r="C921" i="13" s="1"/>
  <c r="C922" i="13" s="1"/>
  <c r="C923" i="13" s="1"/>
  <c r="C924" i="13" s="1"/>
  <c r="C925" i="13" s="1"/>
  <c r="C926" i="13" s="1"/>
  <c r="C927" i="13" s="1"/>
  <c r="C928" i="13" s="1"/>
  <c r="C929" i="13" s="1"/>
  <c r="C930" i="13" s="1"/>
  <c r="C931" i="13" s="1"/>
  <c r="C932" i="13" s="1"/>
  <c r="C933" i="13" s="1"/>
  <c r="C934" i="13" s="1"/>
  <c r="C935" i="13" s="1"/>
  <c r="C936" i="13" s="1"/>
  <c r="C937" i="13" s="1"/>
  <c r="C938" i="13" s="1"/>
  <c r="C939" i="13" s="1"/>
  <c r="C940" i="13" s="1"/>
  <c r="C941" i="13" s="1"/>
  <c r="C942" i="13" s="1"/>
  <c r="M883" i="13"/>
  <c r="O883" i="13"/>
  <c r="O884" i="13"/>
  <c r="M884" i="13"/>
  <c r="E23" i="41"/>
  <c r="E24" i="41" s="1"/>
  <c r="E25" i="41" s="1"/>
  <c r="E26" i="41" s="1"/>
  <c r="E27" i="41" s="1"/>
  <c r="E28" i="41" s="1"/>
  <c r="E29" i="41" s="1"/>
  <c r="E30" i="41" s="1"/>
  <c r="E31" i="41" s="1"/>
  <c r="E32" i="41" s="1"/>
  <c r="E22" i="35"/>
  <c r="E23" i="35" s="1"/>
  <c r="E24" i="35" s="1"/>
  <c r="E25" i="35" s="1"/>
  <c r="E26" i="35" s="1"/>
  <c r="E27" i="35" s="1"/>
  <c r="E28" i="35" s="1"/>
  <c r="E29" i="35" s="1"/>
  <c r="E30" i="35" s="1"/>
  <c r="E31" i="35" s="1"/>
  <c r="E32" i="35" s="1"/>
  <c r="G34" i="36"/>
  <c r="A75" i="36"/>
  <c r="D35" i="5" s="1"/>
  <c r="I89" i="36"/>
  <c r="G66" i="36"/>
  <c r="E69" i="36"/>
  <c r="E75" i="36" s="1"/>
  <c r="G56" i="36"/>
  <c r="I21" i="35"/>
  <c r="L21" i="35" s="1"/>
  <c r="I79" i="6"/>
  <c r="I30" i="6" s="1"/>
  <c r="G23" i="35"/>
  <c r="E40" i="6"/>
  <c r="G43" i="36"/>
  <c r="G20" i="36"/>
  <c r="C478" i="13" l="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N436" i="13"/>
  <c r="B23" i="7"/>
  <c r="A23" i="7"/>
  <c r="E110" i="2" s="1"/>
  <c r="F48" i="13"/>
  <c r="G48" i="20"/>
  <c r="E28" i="2"/>
  <c r="D30" i="2"/>
  <c r="A37" i="31"/>
  <c r="A40" i="31" s="1"/>
  <c r="A49" i="31" s="1"/>
  <c r="A50" i="31" s="1"/>
  <c r="A52" i="31" s="1"/>
  <c r="A54" i="31" s="1"/>
  <c r="A58" i="31" s="1"/>
  <c r="A59" i="31" s="1"/>
  <c r="A61" i="31" s="1"/>
  <c r="A62" i="31" s="1"/>
  <c r="A65" i="31" s="1"/>
  <c r="A69" i="31" s="1"/>
  <c r="A81" i="31" s="1"/>
  <c r="A86" i="31" s="1"/>
  <c r="A89" i="31" s="1"/>
  <c r="A95" i="31" s="1"/>
  <c r="A98" i="31" s="1"/>
  <c r="A101" i="31" s="1"/>
  <c r="F32" i="34"/>
  <c r="F53" i="34" s="1"/>
  <c r="F203" i="34" s="1"/>
  <c r="C79" i="34"/>
  <c r="E79" i="34"/>
  <c r="J112" i="34"/>
  <c r="K35" i="37"/>
  <c r="G19" i="37"/>
  <c r="C119" i="34"/>
  <c r="J119" i="34" s="1"/>
  <c r="C139" i="34"/>
  <c r="C151" i="34" s="1"/>
  <c r="J118" i="34"/>
  <c r="G27" i="5"/>
  <c r="G25" i="5"/>
  <c r="G87" i="36"/>
  <c r="C89" i="36"/>
  <c r="E139" i="34"/>
  <c r="J124" i="34"/>
  <c r="J31" i="34"/>
  <c r="A76" i="36"/>
  <c r="I52" i="34"/>
  <c r="G139" i="34"/>
  <c r="G151" i="34" s="1"/>
  <c r="I188" i="34"/>
  <c r="I213" i="34" s="1"/>
  <c r="I216" i="34" s="1"/>
  <c r="H188" i="34"/>
  <c r="H213" i="34" s="1"/>
  <c r="J198" i="34"/>
  <c r="I43" i="11"/>
  <c r="G161" i="2" s="1"/>
  <c r="J25" i="34"/>
  <c r="J79" i="34" s="1"/>
  <c r="K69" i="36"/>
  <c r="K75" i="36" s="1"/>
  <c r="G47" i="36"/>
  <c r="G33" i="37"/>
  <c r="G29" i="37"/>
  <c r="H166" i="34"/>
  <c r="H139" i="34"/>
  <c r="H167" i="34" s="1"/>
  <c r="E18" i="2"/>
  <c r="E163" i="2"/>
  <c r="G166" i="34"/>
  <c r="J195" i="34"/>
  <c r="G199" i="34"/>
  <c r="C32" i="34"/>
  <c r="J32" i="34" s="1"/>
  <c r="C52" i="34"/>
  <c r="C57" i="34" s="1"/>
  <c r="I22" i="35"/>
  <c r="M436" i="13"/>
  <c r="E27" i="5"/>
  <c r="I27" i="5" s="1"/>
  <c r="E35" i="5"/>
  <c r="E49" i="5"/>
  <c r="E51" i="5" s="1"/>
  <c r="A25" i="37"/>
  <c r="A26" i="37" s="1"/>
  <c r="A27" i="37" s="1"/>
  <c r="A28" i="37" s="1"/>
  <c r="A29" i="37" s="1"/>
  <c r="A30" i="37" s="1"/>
  <c r="A31" i="37" s="1"/>
  <c r="A32" i="37" s="1"/>
  <c r="A33" i="37" s="1"/>
  <c r="J54" i="41"/>
  <c r="H217" i="2"/>
  <c r="C188" i="34"/>
  <c r="C213" i="34" s="1"/>
  <c r="J194" i="34"/>
  <c r="E25" i="5"/>
  <c r="A63" i="36"/>
  <c r="A64" i="36" s="1"/>
  <c r="A65" i="36" s="1"/>
  <c r="A66" i="36" s="1"/>
  <c r="A59" i="36"/>
  <c r="A60" i="36" s="1"/>
  <c r="A61" i="36" s="1"/>
  <c r="A62" i="36" s="1"/>
  <c r="G35" i="5"/>
  <c r="G33" i="5"/>
  <c r="E33" i="5"/>
  <c r="G86" i="36"/>
  <c r="K89" i="36"/>
  <c r="I52" i="5"/>
  <c r="L90" i="2" s="1"/>
  <c r="G43" i="5"/>
  <c r="G41" i="5"/>
  <c r="N871" i="13"/>
  <c r="E73" i="9"/>
  <c r="I23" i="31"/>
  <c r="G43" i="11"/>
  <c r="K43" i="11"/>
  <c r="G165" i="2" s="1"/>
  <c r="E17" i="11"/>
  <c r="M17" i="11" s="1"/>
  <c r="M43" i="11" s="1"/>
  <c r="G164" i="2" s="1"/>
  <c r="L164" i="2" s="1"/>
  <c r="N175" i="13"/>
  <c r="L261" i="13"/>
  <c r="J69" i="36"/>
  <c r="J75" i="36" s="1"/>
  <c r="G32" i="36"/>
  <c r="Q27" i="42"/>
  <c r="P27" i="42"/>
  <c r="E41" i="6"/>
  <c r="E55" i="6" s="1"/>
  <c r="E29" i="6" s="1"/>
  <c r="K55" i="6"/>
  <c r="K29" i="6" s="1"/>
  <c r="I55" i="6"/>
  <c r="I29" i="6" s="1"/>
  <c r="I31" i="6" s="1"/>
  <c r="G105" i="2" s="1"/>
  <c r="G31" i="6"/>
  <c r="G106" i="2" s="1"/>
  <c r="L106" i="2" s="1"/>
  <c r="G17" i="37"/>
  <c r="G25" i="37"/>
  <c r="G24" i="37"/>
  <c r="C35" i="37"/>
  <c r="E23" i="36"/>
  <c r="G37" i="36"/>
  <c r="G28" i="5"/>
  <c r="C69" i="36"/>
  <c r="C75" i="36" s="1"/>
  <c r="G46" i="36"/>
  <c r="G35" i="36"/>
  <c r="G134" i="2"/>
  <c r="G100" i="2" s="1"/>
  <c r="I30" i="31"/>
  <c r="D33" i="40"/>
  <c r="G146" i="2" s="1"/>
  <c r="G147" i="2" s="1"/>
  <c r="G23" i="39"/>
  <c r="G76" i="2"/>
  <c r="L204" i="2"/>
  <c r="L207" i="2" s="1"/>
  <c r="L63" i="2" s="1"/>
  <c r="G80" i="2"/>
  <c r="K48" i="11" s="1"/>
  <c r="K51" i="11" s="1"/>
  <c r="S22" i="21"/>
  <c r="G79" i="2"/>
  <c r="G48" i="11" s="1"/>
  <c r="M175" i="13"/>
  <c r="M523" i="13"/>
  <c r="M871" i="13"/>
  <c r="N262" i="13"/>
  <c r="O262" i="13" s="1"/>
  <c r="N523" i="13"/>
  <c r="M610" i="13"/>
  <c r="L870" i="13"/>
  <c r="N610" i="13"/>
  <c r="L227" i="2"/>
  <c r="E22" i="31"/>
  <c r="G163" i="2" s="1"/>
  <c r="S17" i="21"/>
  <c r="L41" i="2"/>
  <c r="J27" i="8"/>
  <c r="J31" i="8" s="1"/>
  <c r="D31" i="6"/>
  <c r="D69" i="36"/>
  <c r="D75" i="36" s="1"/>
  <c r="G72" i="36"/>
  <c r="G48" i="36"/>
  <c r="C51" i="36"/>
  <c r="D51" i="36"/>
  <c r="J51" i="36"/>
  <c r="G31" i="36"/>
  <c r="G38" i="36"/>
  <c r="G30" i="36"/>
  <c r="G36" i="36"/>
  <c r="G39" i="36"/>
  <c r="G30" i="37"/>
  <c r="G23" i="37"/>
  <c r="I630" i="20"/>
  <c r="I94" i="20"/>
  <c r="I719" i="20"/>
  <c r="I273" i="20"/>
  <c r="I541" i="20"/>
  <c r="I899" i="20"/>
  <c r="I184" i="20"/>
  <c r="D34" i="5"/>
  <c r="A78" i="36"/>
  <c r="A80" i="36" s="1"/>
  <c r="A82" i="36" s="1"/>
  <c r="A84" i="36" s="1"/>
  <c r="A85" i="36" s="1"/>
  <c r="A86" i="36" s="1"/>
  <c r="A87" i="36" s="1"/>
  <c r="A88" i="36" s="1"/>
  <c r="A89" i="36" s="1"/>
  <c r="D52" i="5" s="1"/>
  <c r="N88" i="13"/>
  <c r="C130" i="13"/>
  <c r="C131" i="13" s="1"/>
  <c r="C132" i="13" s="1"/>
  <c r="C133" i="13" s="1"/>
  <c r="C134" i="13" s="1"/>
  <c r="C135" i="13" s="1"/>
  <c r="C136" i="13" s="1"/>
  <c r="C137" i="13" s="1"/>
  <c r="C138" i="13" s="1"/>
  <c r="C139" i="13" s="1"/>
  <c r="C140" i="13" s="1"/>
  <c r="C141" i="13" s="1"/>
  <c r="C142" i="13" s="1"/>
  <c r="C143" i="13" s="1"/>
  <c r="C144" i="13" s="1"/>
  <c r="C145" i="13" s="1"/>
  <c r="C146" i="13" s="1"/>
  <c r="C147" i="13" s="1"/>
  <c r="C148" i="13" s="1"/>
  <c r="C149" i="13" s="1"/>
  <c r="C150" i="13" s="1"/>
  <c r="C151" i="13" s="1"/>
  <c r="C152" i="13" s="1"/>
  <c r="C153" i="13" s="1"/>
  <c r="C154" i="13" s="1"/>
  <c r="C155" i="13" s="1"/>
  <c r="C156" i="13" s="1"/>
  <c r="C157" i="13" s="1"/>
  <c r="C158" i="13" s="1"/>
  <c r="C159" i="13" s="1"/>
  <c r="M88" i="13"/>
  <c r="E143" i="2"/>
  <c r="E164" i="2"/>
  <c r="E161" i="2"/>
  <c r="A48" i="11"/>
  <c r="E165" i="2"/>
  <c r="G24" i="35"/>
  <c r="I23" i="35"/>
  <c r="L23" i="35" s="1"/>
  <c r="L22" i="35"/>
  <c r="L145" i="2"/>
  <c r="C140" i="34"/>
  <c r="J125" i="34"/>
  <c r="E102" i="2"/>
  <c r="A21" i="6"/>
  <c r="N784" i="13"/>
  <c r="M784" i="13"/>
  <c r="B13" i="34"/>
  <c r="A19" i="34"/>
  <c r="A20" i="34" s="1"/>
  <c r="A21" i="34" s="1"/>
  <c r="A22" i="34" s="1"/>
  <c r="A23" i="34" s="1"/>
  <c r="A24" i="34" s="1"/>
  <c r="A25" i="34" s="1"/>
  <c r="H216" i="34"/>
  <c r="H218" i="34" s="1"/>
  <c r="A84" i="38"/>
  <c r="A87" i="38" s="1"/>
  <c r="E95" i="2"/>
  <c r="C218" i="34"/>
  <c r="C216" i="34"/>
  <c r="C199" i="34"/>
  <c r="C229" i="34" s="1"/>
  <c r="J193" i="34"/>
  <c r="I61" i="11"/>
  <c r="I63" i="11" s="1"/>
  <c r="I65" i="11" s="1"/>
  <c r="I53" i="11"/>
  <c r="I55" i="11" s="1"/>
  <c r="E36" i="5"/>
  <c r="C60" i="34"/>
  <c r="C65" i="34" s="1"/>
  <c r="J185" i="34"/>
  <c r="C30" i="40"/>
  <c r="A27" i="40"/>
  <c r="A28" i="40" s="1"/>
  <c r="A29" i="40" s="1"/>
  <c r="A30" i="40" s="1"/>
  <c r="H38" i="34"/>
  <c r="H53" i="34" s="1"/>
  <c r="H203" i="34" s="1"/>
  <c r="H52" i="34"/>
  <c r="J50" i="34"/>
  <c r="C826" i="13"/>
  <c r="C827" i="13" s="1"/>
  <c r="C828" i="13" s="1"/>
  <c r="C829" i="13" s="1"/>
  <c r="C830" i="13" s="1"/>
  <c r="C831" i="13" s="1"/>
  <c r="C832" i="13" s="1"/>
  <c r="C833" i="13" s="1"/>
  <c r="C834" i="13" s="1"/>
  <c r="C835" i="13" s="1"/>
  <c r="C836" i="13" s="1"/>
  <c r="C837" i="13" s="1"/>
  <c r="C838" i="13" s="1"/>
  <c r="C839" i="13" s="1"/>
  <c r="C840" i="13" s="1"/>
  <c r="C841" i="13" s="1"/>
  <c r="C842" i="13" s="1"/>
  <c r="C843" i="13" s="1"/>
  <c r="C844" i="13" s="1"/>
  <c r="C845" i="13" s="1"/>
  <c r="C846" i="13" s="1"/>
  <c r="C847" i="13" s="1"/>
  <c r="C848" i="13" s="1"/>
  <c r="C849" i="13" s="1"/>
  <c r="C850" i="13" s="1"/>
  <c r="C851" i="13" s="1"/>
  <c r="C852" i="13" s="1"/>
  <c r="C853" i="13" s="1"/>
  <c r="C854" i="13" s="1"/>
  <c r="C855" i="13" s="1"/>
  <c r="C202" i="34"/>
  <c r="C80" i="34"/>
  <c r="C64" i="34"/>
  <c r="J188" i="34"/>
  <c r="J213" i="34" s="1"/>
  <c r="I153" i="34"/>
  <c r="I157" i="34" s="1"/>
  <c r="I173" i="34" s="1"/>
  <c r="A23" i="5"/>
  <c r="A25" i="5" s="1"/>
  <c r="E86" i="2"/>
  <c r="G140" i="34"/>
  <c r="G144" i="34"/>
  <c r="G147" i="34" s="1"/>
  <c r="G152" i="34" s="1"/>
  <c r="G167" i="34"/>
  <c r="B28" i="2"/>
  <c r="B30" i="2" s="1"/>
  <c r="B31" i="2" s="1"/>
  <c r="F150" i="34"/>
  <c r="F166" i="34"/>
  <c r="E35" i="37"/>
  <c r="A29" i="39"/>
  <c r="A30" i="39" s="1"/>
  <c r="A31" i="39" s="1"/>
  <c r="A32" i="39" s="1"/>
  <c r="A33" i="39" s="1"/>
  <c r="A34" i="39" s="1"/>
  <c r="A35" i="39" s="1"/>
  <c r="A36" i="39" s="1"/>
  <c r="A37" i="39" s="1"/>
  <c r="A38" i="39" s="1"/>
  <c r="A39" i="39" s="1"/>
  <c r="A40" i="39" s="1"/>
  <c r="A41" i="39" s="1"/>
  <c r="A42" i="39" s="1"/>
  <c r="E228" i="2"/>
  <c r="H144" i="34"/>
  <c r="H147" i="34" s="1"/>
  <c r="H152" i="34" s="1"/>
  <c r="H229" i="34"/>
  <c r="J166" i="34"/>
  <c r="J131" i="34"/>
  <c r="F218" i="34"/>
  <c r="F140" i="34"/>
  <c r="F29" i="10"/>
  <c r="F341" i="2" s="1"/>
  <c r="G169" i="2" s="1"/>
  <c r="G173" i="2" s="1"/>
  <c r="H42" i="39"/>
  <c r="I202" i="34"/>
  <c r="I57" i="34"/>
  <c r="I60" i="34" s="1"/>
  <c r="I65" i="34" s="1"/>
  <c r="H151" i="34"/>
  <c r="J137" i="34"/>
  <c r="I140" i="34"/>
  <c r="F57" i="34"/>
  <c r="F60" i="34" s="1"/>
  <c r="F65" i="34" s="1"/>
  <c r="F202" i="34"/>
  <c r="G44" i="34"/>
  <c r="G53" i="34" s="1"/>
  <c r="G203" i="34" s="1"/>
  <c r="G52" i="34"/>
  <c r="E38" i="34"/>
  <c r="E53" i="34" s="1"/>
  <c r="E203" i="34" s="1"/>
  <c r="E52" i="34"/>
  <c r="J37" i="34"/>
  <c r="J43" i="34"/>
  <c r="C44" i="34"/>
  <c r="I35" i="37"/>
  <c r="E66" i="2"/>
  <c r="E67" i="2"/>
  <c r="E65" i="2"/>
  <c r="A29" i="38"/>
  <c r="A30" i="38" s="1"/>
  <c r="A31" i="38" s="1"/>
  <c r="A32" i="38" s="1"/>
  <c r="A33" i="38" s="1"/>
  <c r="A34" i="38" s="1"/>
  <c r="A35" i="38" s="1"/>
  <c r="A36" i="38" s="1"/>
  <c r="A37" i="38" s="1"/>
  <c r="A38" i="38" s="1"/>
  <c r="A39" i="38" s="1"/>
  <c r="A40" i="38" s="1"/>
  <c r="A41" i="38" s="1"/>
  <c r="A42" i="38" s="1"/>
  <c r="I808" i="20"/>
  <c r="I452" i="20"/>
  <c r="E188" i="34"/>
  <c r="E213" i="34" s="1"/>
  <c r="F199" i="34"/>
  <c r="F229" i="34" s="1"/>
  <c r="G21" i="37"/>
  <c r="I37" i="31"/>
  <c r="B23" i="40"/>
  <c r="G188" i="34"/>
  <c r="G19" i="36"/>
  <c r="G23" i="36" s="1"/>
  <c r="G28" i="36"/>
  <c r="K51" i="36"/>
  <c r="G42" i="36"/>
  <c r="G58" i="36"/>
  <c r="G69" i="36" s="1"/>
  <c r="J89" i="36"/>
  <c r="E19" i="5"/>
  <c r="E17" i="5"/>
  <c r="G49" i="5"/>
  <c r="G19" i="5"/>
  <c r="G17" i="5"/>
  <c r="G22" i="41"/>
  <c r="I21" i="41"/>
  <c r="G81" i="2"/>
  <c r="G82" i="2" s="1"/>
  <c r="L71" i="2"/>
  <c r="J71" i="2" s="1"/>
  <c r="J79" i="6"/>
  <c r="J30" i="6" s="1"/>
  <c r="J31" i="6" s="1"/>
  <c r="G104" i="2" s="1"/>
  <c r="G33" i="36"/>
  <c r="G29" i="36"/>
  <c r="P822" i="13"/>
  <c r="P807" i="13"/>
  <c r="P384" i="13"/>
  <c r="P150" i="13"/>
  <c r="P221" i="13"/>
  <c r="P543" i="13"/>
  <c r="P740" i="13"/>
  <c r="P742" i="13"/>
  <c r="P768" i="13"/>
  <c r="O349" i="13"/>
  <c r="P131" i="13"/>
  <c r="P214" i="13"/>
  <c r="P226" i="13"/>
  <c r="P372" i="13"/>
  <c r="P374" i="13"/>
  <c r="P378" i="13"/>
  <c r="P380" i="13"/>
  <c r="P382" i="13"/>
  <c r="P386" i="13"/>
  <c r="P398" i="13"/>
  <c r="P400" i="13"/>
  <c r="P402" i="13"/>
  <c r="P406" i="13"/>
  <c r="P408" i="13"/>
  <c r="P414" i="13"/>
  <c r="P420" i="13"/>
  <c r="P472" i="13"/>
  <c r="P494" i="13"/>
  <c r="P568" i="13"/>
  <c r="P767" i="13"/>
  <c r="P801" i="13"/>
  <c r="P923" i="13"/>
  <c r="P298" i="13"/>
  <c r="P318" i="13"/>
  <c r="P326" i="13"/>
  <c r="P328" i="13"/>
  <c r="P454" i="13"/>
  <c r="P456" i="13"/>
  <c r="P458" i="13"/>
  <c r="P460" i="13"/>
  <c r="P462" i="13"/>
  <c r="P464" i="13"/>
  <c r="P466" i="13"/>
  <c r="P468" i="13"/>
  <c r="P470" i="13"/>
  <c r="P480" i="13"/>
  <c r="P484" i="13"/>
  <c r="P486" i="13"/>
  <c r="P488" i="13"/>
  <c r="P490" i="13"/>
  <c r="P492" i="13"/>
  <c r="P496" i="13"/>
  <c r="P504" i="13"/>
  <c r="P629" i="13"/>
  <c r="P657" i="13"/>
  <c r="P659" i="13"/>
  <c r="P803" i="13"/>
  <c r="P648" i="13"/>
  <c r="P652" i="13"/>
  <c r="P656" i="13"/>
  <c r="P830" i="13"/>
  <c r="P482" i="13"/>
  <c r="P805" i="13"/>
  <c r="P884" i="13"/>
  <c r="P295" i="13"/>
  <c r="P299" i="13"/>
  <c r="P307" i="13"/>
  <c r="P315" i="13"/>
  <c r="P317" i="13"/>
  <c r="P455" i="13"/>
  <c r="P818" i="13"/>
  <c r="O697" i="13"/>
  <c r="P159" i="13"/>
  <c r="P157" i="13"/>
  <c r="P155" i="13"/>
  <c r="P143" i="13"/>
  <c r="P139" i="13"/>
  <c r="P133" i="13"/>
  <c r="P129" i="13"/>
  <c r="P127" i="13"/>
  <c r="P121" i="13"/>
  <c r="P117" i="13"/>
  <c r="P115" i="13"/>
  <c r="P113" i="13"/>
  <c r="P388" i="13"/>
  <c r="P542" i="13"/>
  <c r="P548" i="13"/>
  <c r="P552" i="13"/>
  <c r="P554" i="13"/>
  <c r="P558" i="13"/>
  <c r="P560" i="13"/>
  <c r="P562" i="13"/>
  <c r="P570" i="13"/>
  <c r="P572" i="13"/>
  <c r="P584" i="13"/>
  <c r="P715" i="13"/>
  <c r="P717" i="13"/>
  <c r="P725" i="13"/>
  <c r="P727" i="13"/>
  <c r="P761" i="13"/>
  <c r="P152" i="13"/>
  <c r="P120" i="13"/>
  <c r="P112" i="13"/>
  <c r="P587" i="13"/>
  <c r="P589" i="13"/>
  <c r="P591" i="13"/>
  <c r="P593" i="13"/>
  <c r="P732" i="13"/>
  <c r="P748" i="13"/>
  <c r="P754" i="13"/>
  <c r="P922" i="13"/>
  <c r="P716" i="13"/>
  <c r="P834" i="13"/>
  <c r="P842" i="13"/>
  <c r="P852" i="13"/>
  <c r="P631" i="13"/>
  <c r="P633" i="13"/>
  <c r="P635" i="13"/>
  <c r="P637" i="13"/>
  <c r="P639" i="13"/>
  <c r="P641" i="13"/>
  <c r="P643" i="13"/>
  <c r="P647" i="13"/>
  <c r="P661" i="13"/>
  <c r="P663" i="13"/>
  <c r="P665" i="13"/>
  <c r="P667" i="13"/>
  <c r="P669" i="13"/>
  <c r="P671" i="13"/>
  <c r="P673" i="13"/>
  <c r="P675" i="13"/>
  <c r="P809" i="13"/>
  <c r="P811" i="13"/>
  <c r="P813" i="13"/>
  <c r="P815" i="13"/>
  <c r="P817" i="13"/>
  <c r="P819" i="13"/>
  <c r="P821" i="13"/>
  <c r="P823" i="13"/>
  <c r="P825" i="13"/>
  <c r="P827" i="13"/>
  <c r="P829" i="13"/>
  <c r="P892" i="13"/>
  <c r="P896" i="13"/>
  <c r="P898" i="13"/>
  <c r="P902" i="13"/>
  <c r="P904" i="13"/>
  <c r="P910" i="13"/>
  <c r="P912" i="13"/>
  <c r="P914" i="13"/>
  <c r="P916" i="13"/>
  <c r="P918" i="13"/>
  <c r="P920" i="13"/>
  <c r="P924" i="13"/>
  <c r="P926" i="13"/>
  <c r="P928" i="13"/>
  <c r="P932" i="13"/>
  <c r="P936" i="13"/>
  <c r="P832" i="13"/>
  <c r="P836" i="13"/>
  <c r="P840" i="13"/>
  <c r="P147" i="13"/>
  <c r="P145" i="13"/>
  <c r="P125" i="13"/>
  <c r="P550" i="13"/>
  <c r="P556" i="13"/>
  <c r="P666" i="13"/>
  <c r="P668" i="13"/>
  <c r="P680" i="13"/>
  <c r="P808" i="13"/>
  <c r="P810" i="13"/>
  <c r="P812" i="13"/>
  <c r="P814" i="13"/>
  <c r="P816" i="13"/>
  <c r="P820" i="13"/>
  <c r="P824" i="13"/>
  <c r="P826" i="13"/>
  <c r="P828" i="13"/>
  <c r="P893" i="13"/>
  <c r="P899" i="13"/>
  <c r="P911" i="13"/>
  <c r="P919" i="13"/>
  <c r="P921" i="13"/>
  <c r="P927" i="13"/>
  <c r="P929" i="13"/>
  <c r="P931" i="13"/>
  <c r="P935" i="13"/>
  <c r="P939" i="13"/>
  <c r="P941" i="13"/>
  <c r="P114" i="13"/>
  <c r="P199" i="13"/>
  <c r="P201" i="13"/>
  <c r="P203" i="13"/>
  <c r="P205" i="13"/>
  <c r="P207" i="13"/>
  <c r="P217" i="13"/>
  <c r="P219" i="13"/>
  <c r="P229" i="13"/>
  <c r="P231" i="13"/>
  <c r="P233" i="13"/>
  <c r="P235" i="13"/>
  <c r="P237" i="13"/>
  <c r="P239" i="13"/>
  <c r="P243" i="13"/>
  <c r="P245" i="13"/>
  <c r="P371" i="13"/>
  <c r="P391" i="13"/>
  <c r="P561" i="13"/>
  <c r="P563" i="13"/>
  <c r="P679" i="13"/>
  <c r="P838" i="13"/>
  <c r="P283" i="13"/>
  <c r="P285" i="13"/>
  <c r="P287" i="13"/>
  <c r="P289" i="13"/>
  <c r="P291" i="13"/>
  <c r="P293" i="13"/>
  <c r="P301" i="13"/>
  <c r="P303" i="13"/>
  <c r="P309" i="13"/>
  <c r="P311" i="13"/>
  <c r="P313" i="13"/>
  <c r="P719" i="13"/>
  <c r="P739" i="13"/>
  <c r="P743" i="13"/>
  <c r="P745" i="13"/>
  <c r="P751" i="13"/>
  <c r="P753" i="13"/>
  <c r="P755" i="13"/>
  <c r="P757" i="13"/>
  <c r="P759" i="13"/>
  <c r="P831" i="13"/>
  <c r="P837" i="13"/>
  <c r="P839" i="13"/>
  <c r="P845" i="13"/>
  <c r="P585" i="13"/>
  <c r="P676" i="13"/>
  <c r="P883" i="13"/>
  <c r="P316" i="13"/>
  <c r="P718" i="13"/>
  <c r="P802" i="13"/>
  <c r="P728" i="13"/>
  <c r="P118" i="13"/>
  <c r="P116" i="13"/>
  <c r="P213" i="13"/>
  <c r="P215" i="13"/>
  <c r="P223" i="13"/>
  <c r="P227" i="13"/>
  <c r="P658" i="13"/>
  <c r="P660" i="13"/>
  <c r="P664" i="13"/>
  <c r="P672" i="13"/>
  <c r="P674" i="13"/>
  <c r="P724" i="13"/>
  <c r="P726" i="13"/>
  <c r="P853" i="13"/>
  <c r="P196" i="13"/>
  <c r="P208" i="13"/>
  <c r="P212" i="13"/>
  <c r="P218" i="13"/>
  <c r="P222" i="13"/>
  <c r="P236" i="13"/>
  <c r="P284" i="13"/>
  <c r="P286" i="13"/>
  <c r="P288" i="13"/>
  <c r="P290" i="13"/>
  <c r="P292" i="13"/>
  <c r="P296" i="13"/>
  <c r="P300" i="13"/>
  <c r="P304" i="13"/>
  <c r="P306" i="13"/>
  <c r="P308" i="13"/>
  <c r="P310" i="13"/>
  <c r="P312" i="13"/>
  <c r="P314" i="13"/>
  <c r="P319" i="13"/>
  <c r="P331" i="13"/>
  <c r="P333" i="13"/>
  <c r="P373" i="13"/>
  <c r="P375" i="13"/>
  <c r="P387" i="13"/>
  <c r="P393" i="13"/>
  <c r="P395" i="13"/>
  <c r="P457" i="13"/>
  <c r="P459" i="13"/>
  <c r="P461" i="13"/>
  <c r="P463" i="13"/>
  <c r="P465" i="13"/>
  <c r="P469" i="13"/>
  <c r="P471" i="13"/>
  <c r="P481" i="13"/>
  <c r="P483" i="13"/>
  <c r="P485" i="13"/>
  <c r="P487" i="13"/>
  <c r="P489" i="13"/>
  <c r="P491" i="13"/>
  <c r="P493" i="13"/>
  <c r="P495" i="13"/>
  <c r="P497" i="13"/>
  <c r="P503" i="13"/>
  <c r="P505" i="13"/>
  <c r="P559" i="13"/>
  <c r="P565" i="13"/>
  <c r="P567" i="13"/>
  <c r="P571" i="13"/>
  <c r="P575" i="13"/>
  <c r="P579" i="13"/>
  <c r="P583" i="13"/>
  <c r="P588" i="13"/>
  <c r="P590" i="13"/>
  <c r="P592" i="13"/>
  <c r="P594" i="13"/>
  <c r="P628" i="13"/>
  <c r="P634" i="13"/>
  <c r="P636" i="13"/>
  <c r="P638" i="13"/>
  <c r="P640" i="13"/>
  <c r="P678" i="13"/>
  <c r="P744" i="13"/>
  <c r="P756" i="13"/>
  <c r="P762" i="13"/>
  <c r="P764" i="13"/>
  <c r="P766" i="13"/>
  <c r="P806" i="13"/>
  <c r="P198" i="13"/>
  <c r="P200" i="13"/>
  <c r="P202" i="13"/>
  <c r="P204" i="13"/>
  <c r="P210" i="13"/>
  <c r="P216" i="13"/>
  <c r="P220" i="13"/>
  <c r="P224" i="13"/>
  <c r="P228" i="13"/>
  <c r="P230" i="13"/>
  <c r="P232" i="13"/>
  <c r="P238" i="13"/>
  <c r="P240" i="13"/>
  <c r="P242" i="13"/>
  <c r="P244" i="13"/>
  <c r="P246" i="13"/>
  <c r="P369" i="13"/>
  <c r="P377" i="13"/>
  <c r="P379" i="13"/>
  <c r="P385" i="13"/>
  <c r="P399" i="13"/>
  <c r="P401" i="13"/>
  <c r="P403" i="13"/>
  <c r="P405" i="13"/>
  <c r="P407" i="13"/>
  <c r="P409" i="13"/>
  <c r="P411" i="13"/>
  <c r="P413" i="13"/>
  <c r="P415" i="13"/>
  <c r="P417" i="13"/>
  <c r="P419" i="13"/>
  <c r="P545" i="13"/>
  <c r="P547" i="13"/>
  <c r="P549" i="13"/>
  <c r="P551" i="13"/>
  <c r="P553" i="13"/>
  <c r="P555" i="13"/>
  <c r="P557" i="13"/>
  <c r="P569" i="13"/>
  <c r="P577" i="13"/>
  <c r="P581" i="13"/>
  <c r="P644" i="13"/>
  <c r="P662" i="13"/>
  <c r="P677" i="13"/>
  <c r="P723" i="13"/>
  <c r="P729" i="13"/>
  <c r="P731" i="13"/>
  <c r="P733" i="13"/>
  <c r="P735" i="13"/>
  <c r="P747" i="13"/>
  <c r="P907" i="13"/>
  <c r="P909" i="13"/>
  <c r="P154" i="13"/>
  <c r="P148" i="13"/>
  <c r="P146" i="13"/>
  <c r="P144" i="13"/>
  <c r="P142" i="13"/>
  <c r="P140" i="13"/>
  <c r="P138" i="13"/>
  <c r="P136" i="13"/>
  <c r="P134" i="13"/>
  <c r="P132" i="13"/>
  <c r="P124" i="13"/>
  <c r="P122" i="13"/>
  <c r="P110" i="13"/>
  <c r="P305" i="13"/>
  <c r="P320" i="13"/>
  <c r="P322" i="13"/>
  <c r="P324" i="13"/>
  <c r="P330" i="13"/>
  <c r="P332" i="13"/>
  <c r="P370" i="13"/>
  <c r="P376" i="13"/>
  <c r="P390" i="13"/>
  <c r="P392" i="13"/>
  <c r="P394" i="13"/>
  <c r="P396" i="13"/>
  <c r="P404" i="13"/>
  <c r="P410" i="13"/>
  <c r="P412" i="13"/>
  <c r="P416" i="13"/>
  <c r="P418" i="13"/>
  <c r="P474" i="13"/>
  <c r="P476" i="13"/>
  <c r="P498" i="13"/>
  <c r="P500" i="13"/>
  <c r="P502" i="13"/>
  <c r="P506" i="13"/>
  <c r="P574" i="13"/>
  <c r="P580" i="13"/>
  <c r="P582" i="13"/>
  <c r="P650" i="13"/>
  <c r="P730" i="13"/>
  <c r="P843" i="13"/>
  <c r="P847" i="13"/>
  <c r="P849" i="13"/>
  <c r="P851" i="13"/>
  <c r="P854" i="13"/>
  <c r="P885" i="13"/>
  <c r="P890" i="13"/>
  <c r="P894" i="13"/>
  <c r="P900" i="13"/>
  <c r="P149" i="13"/>
  <c r="P141" i="13"/>
  <c r="P137" i="13"/>
  <c r="P135" i="13"/>
  <c r="P123" i="13"/>
  <c r="P119" i="13"/>
  <c r="P111" i="13"/>
  <c r="P209" i="13"/>
  <c r="P321" i="13"/>
  <c r="P323" i="13"/>
  <c r="P325" i="13"/>
  <c r="P327" i="13"/>
  <c r="P329" i="13"/>
  <c r="P475" i="13"/>
  <c r="P499" i="13"/>
  <c r="P653" i="13"/>
  <c r="P655" i="13"/>
  <c r="P746" i="13"/>
  <c r="P844" i="13"/>
  <c r="P846" i="13"/>
  <c r="P942" i="13"/>
  <c r="P479" i="13"/>
  <c r="P938" i="13"/>
  <c r="P361" i="13"/>
  <c r="P211" i="13"/>
  <c r="P225" i="13"/>
  <c r="P241" i="13"/>
  <c r="P297" i="13"/>
  <c r="P477" i="13"/>
  <c r="P507" i="13"/>
  <c r="P576" i="13"/>
  <c r="P578" i="13"/>
  <c r="P645" i="13"/>
  <c r="P654" i="13"/>
  <c r="P750" i="13"/>
  <c r="P752" i="13"/>
  <c r="P763" i="13"/>
  <c r="P906" i="13"/>
  <c r="P913" i="13"/>
  <c r="P915" i="13"/>
  <c r="P917" i="13"/>
  <c r="P940" i="13"/>
  <c r="P206" i="13"/>
  <c r="P294" i="13"/>
  <c r="P302" i="13"/>
  <c r="P389" i="13"/>
  <c r="P397" i="13"/>
  <c r="P467" i="13"/>
  <c r="P478" i="13"/>
  <c r="P630" i="13"/>
  <c r="P632" i="13"/>
  <c r="P642" i="13"/>
  <c r="P649" i="13"/>
  <c r="P651" i="13"/>
  <c r="P720" i="13"/>
  <c r="P722" i="13"/>
  <c r="P734" i="13"/>
  <c r="P736" i="13"/>
  <c r="P738" i="13"/>
  <c r="P758" i="13"/>
  <c r="P760" i="13"/>
  <c r="P765" i="13"/>
  <c r="P833" i="13"/>
  <c r="P835" i="13"/>
  <c r="P841" i="13"/>
  <c r="P848" i="13"/>
  <c r="P850" i="13"/>
  <c r="P855" i="13"/>
  <c r="P933" i="13"/>
  <c r="P937" i="13"/>
  <c r="P158" i="13"/>
  <c r="P156" i="13"/>
  <c r="P130" i="13"/>
  <c r="P128" i="13"/>
  <c r="P126" i="13"/>
  <c r="P197" i="13"/>
  <c r="P234" i="13"/>
  <c r="P473" i="13"/>
  <c r="P544" i="13"/>
  <c r="P546" i="13"/>
  <c r="P564" i="13"/>
  <c r="P566" i="13"/>
  <c r="P721" i="13"/>
  <c r="P737" i="13"/>
  <c r="P741" i="13"/>
  <c r="P889" i="13"/>
  <c r="P891" i="13"/>
  <c r="P895" i="13"/>
  <c r="P897" i="13"/>
  <c r="P901" i="13"/>
  <c r="P903" i="13"/>
  <c r="P905" i="13"/>
  <c r="P930" i="13"/>
  <c r="P153" i="13"/>
  <c r="P151" i="13"/>
  <c r="P573" i="13"/>
  <c r="P646" i="13"/>
  <c r="P934" i="13"/>
  <c r="P381" i="13"/>
  <c r="P383" i="13"/>
  <c r="P501" i="13"/>
  <c r="P541" i="13"/>
  <c r="P586" i="13"/>
  <c r="P670" i="13"/>
  <c r="P681" i="13"/>
  <c r="P749" i="13"/>
  <c r="P804" i="13"/>
  <c r="P908" i="13"/>
  <c r="P925" i="13"/>
  <c r="L45" i="2" l="1"/>
  <c r="O436" i="13"/>
  <c r="I218" i="34"/>
  <c r="H234" i="34"/>
  <c r="H237" i="34" s="1"/>
  <c r="G89" i="36"/>
  <c r="C22" i="31"/>
  <c r="C167" i="34"/>
  <c r="C144" i="34"/>
  <c r="J139" i="34"/>
  <c r="E229" i="34"/>
  <c r="C234" i="34"/>
  <c r="C237" i="34" s="1"/>
  <c r="I80" i="34"/>
  <c r="I64" i="34"/>
  <c r="E167" i="34"/>
  <c r="E144" i="34"/>
  <c r="E147" i="34" s="1"/>
  <c r="E152" i="34" s="1"/>
  <c r="E151" i="34"/>
  <c r="J199" i="34"/>
  <c r="O871" i="13"/>
  <c r="I229" i="34"/>
  <c r="G234" i="2"/>
  <c r="J234" i="2" s="1"/>
  <c r="E22" i="20" s="1"/>
  <c r="E43" i="11"/>
  <c r="E101" i="31"/>
  <c r="I22" i="31"/>
  <c r="L163" i="2" s="1"/>
  <c r="O175" i="13"/>
  <c r="G166" i="2"/>
  <c r="G75" i="36"/>
  <c r="G149" i="2"/>
  <c r="G151" i="2" s="1"/>
  <c r="E20" i="5"/>
  <c r="L209" i="2"/>
  <c r="L230" i="2"/>
  <c r="G235" i="2" s="1"/>
  <c r="O523" i="13"/>
  <c r="K53" i="11"/>
  <c r="K55" i="11" s="1"/>
  <c r="K57" i="11" s="1"/>
  <c r="K58" i="11" s="1"/>
  <c r="K61" i="11"/>
  <c r="K63" i="11" s="1"/>
  <c r="K65" i="11" s="1"/>
  <c r="K67" i="11" s="1"/>
  <c r="K68" i="11" s="1"/>
  <c r="O610" i="13"/>
  <c r="S33" i="21"/>
  <c r="L187" i="2" s="1"/>
  <c r="I19" i="5"/>
  <c r="I35" i="5"/>
  <c r="O784" i="13"/>
  <c r="N21" i="13"/>
  <c r="O21" i="13"/>
  <c r="O88" i="13"/>
  <c r="G51" i="36"/>
  <c r="L21" i="41"/>
  <c r="G180" i="2"/>
  <c r="G178" i="2"/>
  <c r="G179" i="2"/>
  <c r="I33" i="5"/>
  <c r="G88" i="2" s="1"/>
  <c r="G36" i="5"/>
  <c r="B79" i="34"/>
  <c r="A28" i="34"/>
  <c r="E103" i="2"/>
  <c r="A27" i="6"/>
  <c r="A29" i="6" s="1"/>
  <c r="A30" i="6" s="1"/>
  <c r="A31" i="6" s="1"/>
  <c r="H75" i="13"/>
  <c r="J69" i="2"/>
  <c r="G75" i="20"/>
  <c r="E79" i="6"/>
  <c r="E30" i="6" s="1"/>
  <c r="E31" i="6" s="1"/>
  <c r="G107" i="2" s="1"/>
  <c r="L107" i="2" s="1"/>
  <c r="K79" i="6"/>
  <c r="K30" i="6" s="1"/>
  <c r="K31" i="6" s="1"/>
  <c r="G23" i="41"/>
  <c r="I22" i="41"/>
  <c r="L22" i="41" s="1"/>
  <c r="J44" i="34"/>
  <c r="C53" i="34"/>
  <c r="A48" i="39"/>
  <c r="A49" i="39" s="1"/>
  <c r="C70" i="13"/>
  <c r="B33" i="2"/>
  <c r="B34" i="2" s="1"/>
  <c r="D33" i="2"/>
  <c r="C70" i="20"/>
  <c r="I155" i="34"/>
  <c r="I171" i="34" s="1"/>
  <c r="I174" i="34" s="1"/>
  <c r="L241" i="2"/>
  <c r="J229" i="34"/>
  <c r="E57" i="11"/>
  <c r="I57" i="11"/>
  <c r="I58" i="11" s="1"/>
  <c r="I59" i="11" s="1"/>
  <c r="G57" i="11"/>
  <c r="J140" i="34"/>
  <c r="E28" i="5"/>
  <c r="I25" i="5"/>
  <c r="G213" i="34"/>
  <c r="G229" i="34"/>
  <c r="G44" i="5"/>
  <c r="G64" i="34"/>
  <c r="G80" i="34"/>
  <c r="G202" i="34"/>
  <c r="G57" i="34"/>
  <c r="G60" i="34" s="1"/>
  <c r="G65" i="34" s="1"/>
  <c r="F230" i="34"/>
  <c r="F207" i="34"/>
  <c r="F210" i="34" s="1"/>
  <c r="F215" i="34" s="1"/>
  <c r="F220" i="34" s="1"/>
  <c r="F236" i="34" s="1"/>
  <c r="F214" i="34"/>
  <c r="F219" i="34" s="1"/>
  <c r="I230" i="34"/>
  <c r="I214" i="34"/>
  <c r="I219" i="34" s="1"/>
  <c r="I235" i="34" s="1"/>
  <c r="I207" i="34"/>
  <c r="I210" i="34" s="1"/>
  <c r="I215" i="34" s="1"/>
  <c r="I220" i="34" s="1"/>
  <c r="I236" i="34" s="1"/>
  <c r="J216" i="34"/>
  <c r="H254" i="2" s="1"/>
  <c r="C214" i="34"/>
  <c r="C219" i="34" s="1"/>
  <c r="C230" i="34"/>
  <c r="C207" i="34"/>
  <c r="J38" i="34"/>
  <c r="H57" i="34"/>
  <c r="H60" i="34" s="1"/>
  <c r="H65" i="34" s="1"/>
  <c r="H80" i="34"/>
  <c r="H64" i="34"/>
  <c r="H202" i="34"/>
  <c r="I156" i="34"/>
  <c r="I172" i="34" s="1"/>
  <c r="G51" i="11"/>
  <c r="G61" i="11" s="1"/>
  <c r="M48" i="11"/>
  <c r="I24" i="35"/>
  <c r="G25" i="35"/>
  <c r="A50" i="11"/>
  <c r="A51" i="11" s="1"/>
  <c r="C51" i="11"/>
  <c r="E144" i="2"/>
  <c r="E145" i="2"/>
  <c r="I17" i="5"/>
  <c r="G20" i="5"/>
  <c r="A49" i="38"/>
  <c r="A50" i="38" s="1"/>
  <c r="A51" i="38" s="1"/>
  <c r="A52" i="38" s="1"/>
  <c r="A53" i="38" s="1"/>
  <c r="A54" i="38" s="1"/>
  <c r="A55" i="38" s="1"/>
  <c r="A56" i="38" s="1"/>
  <c r="A57" i="38" s="1"/>
  <c r="A58" i="38" s="1"/>
  <c r="A59" i="38" s="1"/>
  <c r="A60" i="38" s="1"/>
  <c r="A61" i="38" s="1"/>
  <c r="A62" i="38" s="1"/>
  <c r="E73" i="2"/>
  <c r="E75" i="2"/>
  <c r="E71" i="2"/>
  <c r="E74" i="2"/>
  <c r="E72" i="2"/>
  <c r="E80" i="34"/>
  <c r="E57" i="34"/>
  <c r="E202" i="34"/>
  <c r="E64" i="34"/>
  <c r="G51" i="5"/>
  <c r="I49" i="5"/>
  <c r="I51" i="5" s="1"/>
  <c r="G90" i="2" s="1"/>
  <c r="E216" i="34"/>
  <c r="E218" i="34" s="1"/>
  <c r="F70" i="34"/>
  <c r="F86" i="34" s="1"/>
  <c r="H153" i="34"/>
  <c r="H155" i="34" s="1"/>
  <c r="H171" i="34" s="1"/>
  <c r="H174" i="34" s="1"/>
  <c r="G233" i="2"/>
  <c r="E57" i="39"/>
  <c r="F234" i="34"/>
  <c r="F237" i="34" s="1"/>
  <c r="H157" i="34"/>
  <c r="H173" i="34" s="1"/>
  <c r="F153" i="34"/>
  <c r="F155" i="34"/>
  <c r="F171" i="34" s="1"/>
  <c r="F174" i="34" s="1"/>
  <c r="G153" i="34"/>
  <c r="G157" i="34" s="1"/>
  <c r="G173" i="34" s="1"/>
  <c r="A26" i="5"/>
  <c r="A27" i="5" s="1"/>
  <c r="A28" i="5" s="1"/>
  <c r="A31" i="5" s="1"/>
  <c r="A33" i="5" s="1"/>
  <c r="D28" i="5"/>
  <c r="C66" i="34"/>
  <c r="C68" i="34" s="1"/>
  <c r="C84" i="34" s="1"/>
  <c r="C87" i="34" s="1"/>
  <c r="J52" i="34"/>
  <c r="I66" i="34"/>
  <c r="A33" i="40"/>
  <c r="E146" i="2" s="1"/>
  <c r="C33" i="40"/>
  <c r="F66" i="34"/>
  <c r="J144" i="2"/>
  <c r="L144" i="2" s="1"/>
  <c r="J154" i="2" l="1"/>
  <c r="J72" i="2"/>
  <c r="L72" i="2" s="1"/>
  <c r="E22" i="13"/>
  <c r="E234" i="34"/>
  <c r="E237" i="34" s="1"/>
  <c r="J167" i="34"/>
  <c r="J151" i="34"/>
  <c r="C69" i="34"/>
  <c r="C85" i="34" s="1"/>
  <c r="C235" i="34"/>
  <c r="E153" i="34"/>
  <c r="C147" i="34"/>
  <c r="C152" i="34" s="1"/>
  <c r="C153" i="34" s="1"/>
  <c r="C156" i="34" s="1"/>
  <c r="C172" i="34" s="1"/>
  <c r="J144" i="34"/>
  <c r="J147" i="34" s="1"/>
  <c r="J152" i="34" s="1"/>
  <c r="C70" i="34"/>
  <c r="C86" i="34" s="1"/>
  <c r="E67" i="11"/>
  <c r="E68" i="11" s="1"/>
  <c r="E157" i="34"/>
  <c r="E173" i="34" s="1"/>
  <c r="I234" i="34"/>
  <c r="I237" i="34" s="1"/>
  <c r="J213" i="2"/>
  <c r="L213" i="2" s="1"/>
  <c r="I67" i="11"/>
  <c r="I68" i="11" s="1"/>
  <c r="I69" i="11" s="1"/>
  <c r="G67" i="11"/>
  <c r="J134" i="2"/>
  <c r="L134" i="2" s="1"/>
  <c r="J143" i="2"/>
  <c r="L143" i="2" s="1"/>
  <c r="P21" i="13"/>
  <c r="G108" i="2"/>
  <c r="I36" i="5"/>
  <c r="L88" i="2" s="1"/>
  <c r="G86" i="2"/>
  <c r="I20" i="5"/>
  <c r="L86" i="2" s="1"/>
  <c r="G216" i="34"/>
  <c r="G218" i="34"/>
  <c r="G234" i="34" s="1"/>
  <c r="G237" i="34" s="1"/>
  <c r="A50" i="39"/>
  <c r="A51" i="39" s="1"/>
  <c r="A52" i="39" s="1"/>
  <c r="A53" i="39" s="1"/>
  <c r="A54" i="39" s="1"/>
  <c r="A55" i="39"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J64" i="34"/>
  <c r="J80" i="34"/>
  <c r="J202" i="34"/>
  <c r="F156" i="34"/>
  <c r="F172" i="34" s="1"/>
  <c r="F157" i="34"/>
  <c r="F173" i="34" s="1"/>
  <c r="E214" i="34"/>
  <c r="E219" i="34" s="1"/>
  <c r="E230" i="34"/>
  <c r="E207" i="34"/>
  <c r="E210" i="34" s="1"/>
  <c r="E215" i="34" s="1"/>
  <c r="E220" i="34" s="1"/>
  <c r="E236" i="34" s="1"/>
  <c r="D205" i="2"/>
  <c r="D206" i="2"/>
  <c r="I25" i="35"/>
  <c r="L25" i="35" s="1"/>
  <c r="G26" i="35"/>
  <c r="M51" i="11"/>
  <c r="G53" i="11"/>
  <c r="H66" i="34"/>
  <c r="H68" i="34" s="1"/>
  <c r="H84" i="34" s="1"/>
  <c r="H87" i="34" s="1"/>
  <c r="C210" i="34"/>
  <c r="C215" i="34" s="1"/>
  <c r="C220" i="34" s="1"/>
  <c r="C236" i="34" s="1"/>
  <c r="J218" i="34"/>
  <c r="F235" i="34"/>
  <c r="G230" i="34"/>
  <c r="G214" i="34"/>
  <c r="G219" i="34" s="1"/>
  <c r="G235" i="34" s="1"/>
  <c r="G207" i="34"/>
  <c r="G210" i="34" s="1"/>
  <c r="G215" i="34" s="1"/>
  <c r="G220" i="34" s="1"/>
  <c r="G236" i="34" s="1"/>
  <c r="C203" i="34"/>
  <c r="J53" i="34"/>
  <c r="J203" i="34" s="1"/>
  <c r="L242" i="2" s="1"/>
  <c r="J252" i="2" s="1"/>
  <c r="A29" i="34"/>
  <c r="I69" i="34"/>
  <c r="I85" i="34" s="1"/>
  <c r="I68" i="34"/>
  <c r="I84" i="34" s="1"/>
  <c r="I87" i="34" s="1"/>
  <c r="G63" i="11"/>
  <c r="M61" i="11"/>
  <c r="G66" i="34"/>
  <c r="G68" i="34" s="1"/>
  <c r="G84" i="34" s="1"/>
  <c r="G87" i="34" s="1"/>
  <c r="B36" i="2"/>
  <c r="B39" i="2" s="1"/>
  <c r="B41" i="2" s="1"/>
  <c r="B21" i="2"/>
  <c r="D36" i="5"/>
  <c r="A34" i="5"/>
  <c r="A35" i="5" s="1"/>
  <c r="A36" i="5" s="1"/>
  <c r="A39" i="5" s="1"/>
  <c r="A41" i="5" s="1"/>
  <c r="E88" i="2"/>
  <c r="J233" i="2"/>
  <c r="G236" i="2"/>
  <c r="A52" i="11"/>
  <c r="A53" i="11" s="1"/>
  <c r="H207" i="34"/>
  <c r="H210" i="34" s="1"/>
  <c r="H215" i="34" s="1"/>
  <c r="H220" i="34" s="1"/>
  <c r="H236" i="34" s="1"/>
  <c r="H230" i="34"/>
  <c r="H214" i="34"/>
  <c r="H219" i="34" s="1"/>
  <c r="L154" i="2"/>
  <c r="I70" i="34"/>
  <c r="I86" i="34" s="1"/>
  <c r="G24" i="41"/>
  <c r="I23" i="41"/>
  <c r="L23" i="41" s="1"/>
  <c r="F68" i="34"/>
  <c r="F84" i="34" s="1"/>
  <c r="F87" i="34" s="1"/>
  <c r="F69" i="34"/>
  <c r="F85" i="34" s="1"/>
  <c r="E87" i="2"/>
  <c r="G155" i="34"/>
  <c r="G171" i="34" s="1"/>
  <c r="G174" i="34" s="1"/>
  <c r="G156" i="34"/>
  <c r="G172" i="34" s="1"/>
  <c r="H156" i="34"/>
  <c r="H172" i="34" s="1"/>
  <c r="C155" i="34"/>
  <c r="C171" i="34" s="1"/>
  <c r="C174" i="34" s="1"/>
  <c r="C157" i="34"/>
  <c r="C173" i="34" s="1"/>
  <c r="E60" i="34"/>
  <c r="E65" i="34" s="1"/>
  <c r="J57" i="34"/>
  <c r="J60" i="34" s="1"/>
  <c r="J65" i="34" s="1"/>
  <c r="C61" i="11"/>
  <c r="L24" i="35"/>
  <c r="G87" i="2"/>
  <c r="I28" i="5"/>
  <c r="L87" i="2" s="1"/>
  <c r="M57" i="11"/>
  <c r="E58" i="11"/>
  <c r="E69" i="11"/>
  <c r="J153" i="34" l="1"/>
  <c r="E155" i="34"/>
  <c r="E171" i="34" s="1"/>
  <c r="E174" i="34" s="1"/>
  <c r="E156" i="34"/>
  <c r="E172" i="34" s="1"/>
  <c r="G69" i="34"/>
  <c r="G85" i="34" s="1"/>
  <c r="E235" i="34"/>
  <c r="L217" i="2"/>
  <c r="L219" i="2" s="1"/>
  <c r="J64" i="2"/>
  <c r="L64" i="2" s="1"/>
  <c r="L79" i="2" s="1"/>
  <c r="J101" i="2"/>
  <c r="L101" i="2" s="1"/>
  <c r="H234" i="2"/>
  <c r="H233" i="2"/>
  <c r="H235" i="2"/>
  <c r="J66" i="34"/>
  <c r="J68" i="34" s="1"/>
  <c r="J84" i="34" s="1"/>
  <c r="J87" i="34" s="1"/>
  <c r="A57" i="39"/>
  <c r="B57" i="39"/>
  <c r="E223" i="2"/>
  <c r="J70" i="34"/>
  <c r="J86" i="34" s="1"/>
  <c r="L100" i="2"/>
  <c r="G25" i="41"/>
  <c r="I24" i="41"/>
  <c r="L24" i="41" s="1"/>
  <c r="E21" i="13"/>
  <c r="E21" i="20"/>
  <c r="J207" i="34"/>
  <c r="A70" i="6"/>
  <c r="A71" i="6" s="1"/>
  <c r="A72" i="6"/>
  <c r="A73" i="6" s="1"/>
  <c r="A74" i="6" s="1"/>
  <c r="A75" i="6" s="1"/>
  <c r="A76" i="6" s="1"/>
  <c r="A77" i="6" s="1"/>
  <c r="A78" i="6" s="1"/>
  <c r="M53" i="11"/>
  <c r="G55" i="11"/>
  <c r="G58" i="11" s="1"/>
  <c r="M58" i="11" s="1"/>
  <c r="E59" i="11"/>
  <c r="E70" i="34"/>
  <c r="E86" i="34" s="1"/>
  <c r="A54" i="11"/>
  <c r="A55" i="11" s="1"/>
  <c r="C55" i="11"/>
  <c r="A30" i="34"/>
  <c r="A31" i="34" s="1"/>
  <c r="B31" i="34"/>
  <c r="G27" i="35"/>
  <c r="I26" i="35"/>
  <c r="E66" i="34"/>
  <c r="J230" i="34"/>
  <c r="J214" i="34"/>
  <c r="J219" i="34" s="1"/>
  <c r="F59" i="13"/>
  <c r="G76" i="20"/>
  <c r="G77" i="20" s="1"/>
  <c r="G78" i="20" s="1"/>
  <c r="G79" i="20" s="1"/>
  <c r="H76" i="13"/>
  <c r="H77" i="13" s="1"/>
  <c r="H78" i="13" s="1"/>
  <c r="H79" i="13" s="1"/>
  <c r="G59" i="20"/>
  <c r="G70" i="34"/>
  <c r="G86" i="34" s="1"/>
  <c r="H235" i="34"/>
  <c r="C53" i="11"/>
  <c r="A42" i="5"/>
  <c r="A43" i="5" s="1"/>
  <c r="A44" i="5" s="1"/>
  <c r="A47" i="5" s="1"/>
  <c r="A49" i="5" s="1"/>
  <c r="D44" i="5"/>
  <c r="E89" i="2"/>
  <c r="B42" i="2"/>
  <c r="G65" i="11"/>
  <c r="G68" i="11" s="1"/>
  <c r="M68" i="11" s="1"/>
  <c r="M63" i="11"/>
  <c r="J234" i="34"/>
  <c r="J237" i="34" s="1"/>
  <c r="G251" i="2"/>
  <c r="H69" i="34"/>
  <c r="H85" i="34" s="1"/>
  <c r="B55" i="39"/>
  <c r="H70" i="34"/>
  <c r="H86" i="34" s="1"/>
  <c r="J155" i="34" l="1"/>
  <c r="J171" i="34" s="1"/>
  <c r="J174" i="34" s="1"/>
  <c r="J156" i="34"/>
  <c r="J172" i="34" s="1"/>
  <c r="J157" i="34"/>
  <c r="J173" i="34" s="1"/>
  <c r="J67" i="2"/>
  <c r="L67" i="2" s="1"/>
  <c r="J104" i="2"/>
  <c r="L104" i="2" s="1"/>
  <c r="J65" i="2"/>
  <c r="L65" i="2" s="1"/>
  <c r="J102" i="2"/>
  <c r="L102" i="2" s="1"/>
  <c r="J141" i="2"/>
  <c r="L141" i="2" s="1"/>
  <c r="J66" i="2"/>
  <c r="L66" i="2" s="1"/>
  <c r="J97" i="2"/>
  <c r="L97" i="2" s="1"/>
  <c r="J73" i="2"/>
  <c r="L73" i="2" s="1"/>
  <c r="J74" i="2"/>
  <c r="L74" i="2" s="1"/>
  <c r="J156" i="2"/>
  <c r="L156" i="2" s="1"/>
  <c r="J146" i="2"/>
  <c r="L146" i="2" s="1"/>
  <c r="J161" i="2"/>
  <c r="L161" i="2" s="1"/>
  <c r="J155" i="2"/>
  <c r="L155" i="2" s="1"/>
  <c r="J75" i="2"/>
  <c r="L75" i="2" s="1"/>
  <c r="D879" i="13"/>
  <c r="J880" i="13" s="1"/>
  <c r="E883" i="13" s="1"/>
  <c r="D792" i="13"/>
  <c r="J793" i="13" s="1"/>
  <c r="E796" i="13" s="1"/>
  <c r="D96" i="13"/>
  <c r="J97" i="13" s="1"/>
  <c r="E100" i="13" s="1"/>
  <c r="D270" i="13"/>
  <c r="J271" i="13" s="1"/>
  <c r="E274" i="13" s="1"/>
  <c r="D444" i="13"/>
  <c r="J445" i="13" s="1"/>
  <c r="E448" i="13" s="1"/>
  <c r="D183" i="13"/>
  <c r="J184" i="13" s="1"/>
  <c r="E187" i="13" s="1"/>
  <c r="D705" i="13"/>
  <c r="J706" i="13" s="1"/>
  <c r="E709" i="13" s="1"/>
  <c r="D357" i="13"/>
  <c r="J358" i="13" s="1"/>
  <c r="E361" i="13" s="1"/>
  <c r="D531" i="13"/>
  <c r="J532" i="13" s="1"/>
  <c r="E535" i="13" s="1"/>
  <c r="D618" i="13"/>
  <c r="J619" i="13" s="1"/>
  <c r="E622" i="13" s="1"/>
  <c r="L245" i="2"/>
  <c r="L248" i="2" s="1"/>
  <c r="J210" i="34"/>
  <c r="J215" i="34" s="1"/>
  <c r="J220" i="34" s="1"/>
  <c r="I234" i="2"/>
  <c r="D22" i="20"/>
  <c r="F22" i="20" s="1"/>
  <c r="L234" i="2"/>
  <c r="D22" i="13"/>
  <c r="F22" i="13" s="1"/>
  <c r="L26" i="35"/>
  <c r="I235" i="2"/>
  <c r="I233" i="2" s="1"/>
  <c r="D23" i="13"/>
  <c r="F23" i="13" s="1"/>
  <c r="D23" i="20"/>
  <c r="F23" i="20" s="1"/>
  <c r="D97" i="20"/>
  <c r="I98" i="20" s="1"/>
  <c r="E101" i="20" s="1"/>
  <c r="D187" i="20"/>
  <c r="I188" i="20" s="1"/>
  <c r="E191" i="20" s="1"/>
  <c r="D455" i="20"/>
  <c r="I456" i="20" s="1"/>
  <c r="E459" i="20" s="1"/>
  <c r="D544" i="20"/>
  <c r="I545" i="20" s="1"/>
  <c r="E548" i="20" s="1"/>
  <c r="D811" i="20"/>
  <c r="I812" i="20" s="1"/>
  <c r="E815" i="20" s="1"/>
  <c r="D633" i="20"/>
  <c r="I634" i="20" s="1"/>
  <c r="E637" i="20" s="1"/>
  <c r="D365" i="20"/>
  <c r="I366" i="20" s="1"/>
  <c r="E369" i="20" s="1"/>
  <c r="D902" i="20"/>
  <c r="I903" i="20" s="1"/>
  <c r="E906" i="20" s="1"/>
  <c r="D276" i="20"/>
  <c r="I277" i="20" s="1"/>
  <c r="E280" i="20" s="1"/>
  <c r="D722" i="20"/>
  <c r="I723" i="20" s="1"/>
  <c r="E726" i="20" s="1"/>
  <c r="G252" i="2"/>
  <c r="J235" i="34"/>
  <c r="G28" i="35"/>
  <c r="I27" i="35"/>
  <c r="L27" i="35" s="1"/>
  <c r="C56" i="11"/>
  <c r="A56" i="11"/>
  <c r="A60" i="39"/>
  <c r="A63" i="39" s="1"/>
  <c r="A64" i="39" s="1"/>
  <c r="A65" i="39" s="1"/>
  <c r="A66" i="39" s="1"/>
  <c r="A68" i="39" s="1"/>
  <c r="D233" i="2"/>
  <c r="H236" i="2"/>
  <c r="D21" i="13"/>
  <c r="F21" i="13" s="1"/>
  <c r="D21" i="20"/>
  <c r="F21" i="20" s="1"/>
  <c r="H251" i="2"/>
  <c r="J251" i="2" s="1"/>
  <c r="L251" i="2" s="1"/>
  <c r="L254" i="2" s="1"/>
  <c r="A50" i="5"/>
  <c r="A51" i="5" s="1"/>
  <c r="B43" i="2"/>
  <c r="G64" i="20"/>
  <c r="F64" i="13"/>
  <c r="E68" i="34"/>
  <c r="E84" i="34" s="1"/>
  <c r="E87" i="34" s="1"/>
  <c r="E69" i="34"/>
  <c r="E85" i="34" s="1"/>
  <c r="A32" i="34"/>
  <c r="B32" i="34"/>
  <c r="G26" i="41"/>
  <c r="I25" i="41"/>
  <c r="L25" i="41" s="1"/>
  <c r="J69" i="34"/>
  <c r="J85" i="34" s="1"/>
  <c r="L233" i="2" l="1"/>
  <c r="L157" i="2"/>
  <c r="L81" i="2"/>
  <c r="L76" i="2"/>
  <c r="L80" i="2"/>
  <c r="L68" i="2"/>
  <c r="J68" i="2" s="1"/>
  <c r="L235" i="2"/>
  <c r="F24" i="13"/>
  <c r="E29" i="13" s="1"/>
  <c r="E90" i="2"/>
  <c r="A52" i="5"/>
  <c r="L252" i="2"/>
  <c r="H252" i="2"/>
  <c r="F459" i="20"/>
  <c r="D460" i="20" s="1"/>
  <c r="F448" i="13"/>
  <c r="F883" i="13"/>
  <c r="B45" i="2"/>
  <c r="B63" i="2" s="1"/>
  <c r="E45" i="2"/>
  <c r="F726" i="20"/>
  <c r="D727" i="20" s="1"/>
  <c r="F637" i="20"/>
  <c r="D638" i="20" s="1"/>
  <c r="F191" i="20"/>
  <c r="D192" i="20" s="1"/>
  <c r="G253" i="2"/>
  <c r="J236" i="34"/>
  <c r="F361" i="13"/>
  <c r="F274" i="13"/>
  <c r="G27" i="41"/>
  <c r="I26" i="41"/>
  <c r="L26" i="41" s="1"/>
  <c r="A34" i="34"/>
  <c r="D305" i="2"/>
  <c r="C57" i="11"/>
  <c r="A57" i="11"/>
  <c r="I28" i="35"/>
  <c r="L28" i="35" s="1"/>
  <c r="G29" i="35"/>
  <c r="F280" i="20"/>
  <c r="D281" i="20" s="1"/>
  <c r="F815" i="20"/>
  <c r="D816" i="20" s="1"/>
  <c r="F101" i="20"/>
  <c r="D102" i="20" s="1"/>
  <c r="F24" i="20"/>
  <c r="F29" i="20" s="1"/>
  <c r="F709" i="13"/>
  <c r="F100" i="13"/>
  <c r="D51" i="5"/>
  <c r="A74" i="39"/>
  <c r="A75" i="39" s="1"/>
  <c r="B50" i="39"/>
  <c r="F906" i="20"/>
  <c r="D907" i="20" s="1"/>
  <c r="F548" i="20"/>
  <c r="D549" i="20" s="1"/>
  <c r="F622" i="13"/>
  <c r="F187" i="13"/>
  <c r="F796" i="13"/>
  <c r="F369" i="20"/>
  <c r="D370" i="20" s="1"/>
  <c r="F535" i="13"/>
  <c r="J103" i="2" l="1"/>
  <c r="L103" i="2" s="1"/>
  <c r="J105" i="2"/>
  <c r="L105" i="2" s="1"/>
  <c r="J165" i="2"/>
  <c r="L165" i="2" s="1"/>
  <c r="J142" i="2"/>
  <c r="L142" i="2" s="1"/>
  <c r="L82" i="2"/>
  <c r="J82" i="2" s="1"/>
  <c r="L236" i="2"/>
  <c r="G170" i="2" s="1"/>
  <c r="E370" i="20"/>
  <c r="F370" i="20" s="1"/>
  <c r="D371" i="20" s="1"/>
  <c r="A35" i="34"/>
  <c r="E638" i="20"/>
  <c r="F638" i="20" s="1"/>
  <c r="D639" i="20" s="1"/>
  <c r="D884" i="13"/>
  <c r="G883" i="13"/>
  <c r="D623" i="13"/>
  <c r="G622" i="13"/>
  <c r="G100" i="13"/>
  <c r="D101" i="13"/>
  <c r="A58" i="11"/>
  <c r="C58" i="11"/>
  <c r="G361" i="13"/>
  <c r="D362" i="13"/>
  <c r="E727" i="20"/>
  <c r="F727" i="20" s="1"/>
  <c r="D728" i="20" s="1"/>
  <c r="G796" i="13"/>
  <c r="D797" i="13"/>
  <c r="E102" i="20"/>
  <c r="F102" i="20" s="1"/>
  <c r="D103" i="20" s="1"/>
  <c r="E281" i="20"/>
  <c r="I27" i="41"/>
  <c r="L27" i="41" s="1"/>
  <c r="G28" i="41"/>
  <c r="E192" i="20"/>
  <c r="F192" i="20" s="1"/>
  <c r="D193" i="20" s="1"/>
  <c r="D449" i="13"/>
  <c r="G448" i="13"/>
  <c r="G535" i="13"/>
  <c r="D536" i="13"/>
  <c r="G187" i="13"/>
  <c r="D188" i="13"/>
  <c r="E549" i="20"/>
  <c r="E224" i="2"/>
  <c r="A76" i="39"/>
  <c r="B76" i="39"/>
  <c r="D710" i="13"/>
  <c r="G709" i="13"/>
  <c r="G30" i="35"/>
  <c r="I29" i="35"/>
  <c r="G274" i="13"/>
  <c r="D275" i="13"/>
  <c r="L253" i="2"/>
  <c r="H253" i="2"/>
  <c r="C75" i="13"/>
  <c r="B64" i="2"/>
  <c r="B65" i="2" s="1"/>
  <c r="E204" i="2"/>
  <c r="C75" i="20"/>
  <c r="E460" i="20"/>
  <c r="E907" i="20"/>
  <c r="F907" i="20" s="1"/>
  <c r="D908" i="20" s="1"/>
  <c r="E816" i="20"/>
  <c r="F816" i="20" s="1"/>
  <c r="D817" i="20" s="1"/>
  <c r="J178" i="2" l="1"/>
  <c r="L178" i="2" s="1"/>
  <c r="J176" i="2"/>
  <c r="L176" i="2" s="1"/>
  <c r="J175" i="2"/>
  <c r="L175" i="2" s="1"/>
  <c r="L147" i="2"/>
  <c r="L149" i="2" s="1"/>
  <c r="L166" i="2"/>
  <c r="L108" i="2"/>
  <c r="E103" i="20"/>
  <c r="F103" i="20" s="1"/>
  <c r="D104" i="20" s="1"/>
  <c r="E817" i="20"/>
  <c r="F817" i="20" s="1"/>
  <c r="D818" i="20" s="1"/>
  <c r="E908" i="20"/>
  <c r="F908" i="20" s="1"/>
  <c r="D909" i="20" s="1"/>
  <c r="B66" i="2"/>
  <c r="B67" i="2" s="1"/>
  <c r="E275" i="13"/>
  <c r="F275" i="13" s="1"/>
  <c r="E193" i="20"/>
  <c r="F193" i="20" s="1"/>
  <c r="D194" i="20" s="1"/>
  <c r="E362" i="13"/>
  <c r="F362" i="13" s="1"/>
  <c r="D363" i="13" s="1"/>
  <c r="E101" i="13"/>
  <c r="F101" i="13" s="1"/>
  <c r="D102" i="13" s="1"/>
  <c r="E639" i="20"/>
  <c r="F639" i="20" s="1"/>
  <c r="D640" i="20" s="1"/>
  <c r="A36" i="34"/>
  <c r="A37" i="34" s="1"/>
  <c r="E710" i="13"/>
  <c r="F710" i="13" s="1"/>
  <c r="D711" i="13" s="1"/>
  <c r="E188" i="13"/>
  <c r="F188" i="13" s="1"/>
  <c r="D189" i="13" s="1"/>
  <c r="G29" i="41"/>
  <c r="I28" i="41"/>
  <c r="L28" i="41" s="1"/>
  <c r="E797" i="13"/>
  <c r="F797" i="13" s="1"/>
  <c r="D798" i="13" s="1"/>
  <c r="L29" i="35"/>
  <c r="E449" i="13"/>
  <c r="F449" i="13" s="1"/>
  <c r="D450" i="13" s="1"/>
  <c r="E728" i="20"/>
  <c r="F728" i="20" s="1"/>
  <c r="D729" i="20" s="1"/>
  <c r="E371" i="20"/>
  <c r="F371" i="20" s="1"/>
  <c r="D372" i="20" s="1"/>
  <c r="F460" i="20"/>
  <c r="D461" i="20" s="1"/>
  <c r="G31" i="35"/>
  <c r="I30" i="35"/>
  <c r="L30" i="35" s="1"/>
  <c r="F549" i="20"/>
  <c r="D550" i="20" s="1"/>
  <c r="E536" i="13"/>
  <c r="F536" i="13" s="1"/>
  <c r="D537" i="13" s="1"/>
  <c r="F281" i="20"/>
  <c r="D282" i="20" s="1"/>
  <c r="F35" i="20"/>
  <c r="G189" i="2"/>
  <c r="E35" i="13"/>
  <c r="L189" i="2"/>
  <c r="C59" i="11"/>
  <c r="A59" i="11"/>
  <c r="A61" i="11" s="1"/>
  <c r="A62" i="11" s="1"/>
  <c r="A63" i="11" s="1"/>
  <c r="E623" i="13"/>
  <c r="F623" i="13" s="1"/>
  <c r="E884" i="13"/>
  <c r="F884" i="13" s="1"/>
  <c r="D885" i="13" s="1"/>
  <c r="F37" i="20" l="1"/>
  <c r="E37" i="13"/>
  <c r="L180" i="2"/>
  <c r="L151" i="2"/>
  <c r="L179" i="2"/>
  <c r="G362" i="13"/>
  <c r="D276" i="13"/>
  <c r="E276" i="13" s="1"/>
  <c r="F276" i="13" s="1"/>
  <c r="G275" i="13"/>
  <c r="G449" i="13"/>
  <c r="G188" i="13"/>
  <c r="E372" i="20"/>
  <c r="F372" i="20" s="1"/>
  <c r="D373" i="20" s="1"/>
  <c r="D624" i="13"/>
  <c r="G623" i="13"/>
  <c r="E640" i="20"/>
  <c r="F640" i="20" s="1"/>
  <c r="D641" i="20" s="1"/>
  <c r="E729" i="20"/>
  <c r="F729" i="20" s="1"/>
  <c r="D730" i="20" s="1"/>
  <c r="B68" i="2"/>
  <c r="B70" i="2" s="1"/>
  <c r="B71" i="2" s="1"/>
  <c r="E68" i="2"/>
  <c r="E282" i="20"/>
  <c r="E461" i="20"/>
  <c r="F461" i="20" s="1"/>
  <c r="D462" i="20" s="1"/>
  <c r="E189" i="13"/>
  <c r="F189" i="13" s="1"/>
  <c r="D190" i="13" s="1"/>
  <c r="G710" i="13"/>
  <c r="B37" i="34"/>
  <c r="G101" i="13"/>
  <c r="E363" i="13"/>
  <c r="F363" i="13" s="1"/>
  <c r="E194" i="20"/>
  <c r="F194" i="20" s="1"/>
  <c r="D195" i="20" s="1"/>
  <c r="E909" i="20"/>
  <c r="E104" i="20"/>
  <c r="F104" i="20" s="1"/>
  <c r="D105" i="20" s="1"/>
  <c r="E537" i="13"/>
  <c r="F537" i="13" s="1"/>
  <c r="D538" i="13" s="1"/>
  <c r="E798" i="13"/>
  <c r="I29" i="41"/>
  <c r="L29" i="41" s="1"/>
  <c r="G30" i="41"/>
  <c r="E711" i="13"/>
  <c r="F711" i="13" s="1"/>
  <c r="E102" i="13"/>
  <c r="F102" i="13" s="1"/>
  <c r="D103" i="13" s="1"/>
  <c r="E818" i="20"/>
  <c r="F818" i="20" s="1"/>
  <c r="D819" i="20" s="1"/>
  <c r="E885" i="13"/>
  <c r="F885" i="13" s="1"/>
  <c r="G536" i="13"/>
  <c r="G32" i="35"/>
  <c r="I31" i="35"/>
  <c r="L31" i="35" s="1"/>
  <c r="E450" i="13"/>
  <c r="F450" i="13" s="1"/>
  <c r="D451" i="13" s="1"/>
  <c r="G797" i="13"/>
  <c r="A38" i="34"/>
  <c r="B38" i="34"/>
  <c r="G884" i="13"/>
  <c r="C65" i="11"/>
  <c r="A64" i="11"/>
  <c r="A65" i="11" s="1"/>
  <c r="E550" i="20"/>
  <c r="F39" i="20" l="1"/>
  <c r="E39" i="13"/>
  <c r="F38" i="20"/>
  <c r="E38" i="13"/>
  <c r="G537" i="13"/>
  <c r="D277" i="13"/>
  <c r="E277" i="13" s="1"/>
  <c r="G276" i="13"/>
  <c r="D886" i="13"/>
  <c r="E886" i="13" s="1"/>
  <c r="F886" i="13" s="1"/>
  <c r="G885" i="13"/>
  <c r="D364" i="13"/>
  <c r="E364" i="13" s="1"/>
  <c r="F364" i="13" s="1"/>
  <c r="D365" i="13" s="1"/>
  <c r="G363" i="13"/>
  <c r="E730" i="20"/>
  <c r="F730" i="20" s="1"/>
  <c r="D731" i="20" s="1"/>
  <c r="D712" i="13"/>
  <c r="G711" i="13"/>
  <c r="E462" i="20"/>
  <c r="F462" i="20" s="1"/>
  <c r="D463" i="20" s="1"/>
  <c r="E819" i="20"/>
  <c r="F819" i="20" s="1"/>
  <c r="D820" i="20" s="1"/>
  <c r="E195" i="20"/>
  <c r="F195" i="20" s="1"/>
  <c r="D196" i="20" s="1"/>
  <c r="E103" i="13"/>
  <c r="F103" i="13" s="1"/>
  <c r="D104" i="13" s="1"/>
  <c r="E105" i="20"/>
  <c r="F105" i="20" s="1"/>
  <c r="D106" i="20" s="1"/>
  <c r="E190" i="13"/>
  <c r="F190" i="13" s="1"/>
  <c r="D191" i="13" s="1"/>
  <c r="E451" i="13"/>
  <c r="F451" i="13" s="1"/>
  <c r="D452" i="13" s="1"/>
  <c r="B72" i="2"/>
  <c r="B73" i="2" s="1"/>
  <c r="C66" i="11"/>
  <c r="A66" i="11"/>
  <c r="A67" i="11" s="1"/>
  <c r="C68" i="11" s="1"/>
  <c r="G102" i="13"/>
  <c r="G31" i="41"/>
  <c r="I30" i="41"/>
  <c r="L30" i="41" s="1"/>
  <c r="F798" i="13"/>
  <c r="F909" i="20"/>
  <c r="D910" i="20" s="1"/>
  <c r="E624" i="13"/>
  <c r="E373" i="20"/>
  <c r="F373" i="20" s="1"/>
  <c r="D374" i="20" s="1"/>
  <c r="E641" i="20"/>
  <c r="F550" i="20"/>
  <c r="D551" i="20" s="1"/>
  <c r="I32" i="35"/>
  <c r="G39" i="35"/>
  <c r="G36" i="35"/>
  <c r="E538" i="13"/>
  <c r="F538" i="13" s="1"/>
  <c r="A40" i="34"/>
  <c r="G450" i="13"/>
  <c r="G189" i="13"/>
  <c r="F282" i="20"/>
  <c r="D283" i="20" s="1"/>
  <c r="G364" i="13" l="1"/>
  <c r="D539" i="13"/>
  <c r="E539" i="13" s="1"/>
  <c r="G538" i="13"/>
  <c r="D887" i="13"/>
  <c r="G886" i="13"/>
  <c r="E731" i="20"/>
  <c r="F731" i="20" s="1"/>
  <c r="D732" i="20" s="1"/>
  <c r="A41" i="34"/>
  <c r="E452" i="13"/>
  <c r="F452" i="13" s="1"/>
  <c r="D453" i="13" s="1"/>
  <c r="E106" i="20"/>
  <c r="F106" i="20" s="1"/>
  <c r="D107" i="20" s="1"/>
  <c r="E820" i="20"/>
  <c r="F820" i="20" s="1"/>
  <c r="D821" i="20" s="1"/>
  <c r="E551" i="20"/>
  <c r="F551" i="20" s="1"/>
  <c r="D552" i="20" s="1"/>
  <c r="E374" i="20"/>
  <c r="F374" i="20" s="1"/>
  <c r="D375" i="20" s="1"/>
  <c r="E910" i="20"/>
  <c r="F910" i="20" s="1"/>
  <c r="D911" i="20" s="1"/>
  <c r="G190" i="13"/>
  <c r="E196" i="20"/>
  <c r="F196" i="20" s="1"/>
  <c r="D197" i="20" s="1"/>
  <c r="E365" i="13"/>
  <c r="F365" i="13" s="1"/>
  <c r="D799" i="13"/>
  <c r="G798" i="13"/>
  <c r="G451" i="13"/>
  <c r="E463" i="20"/>
  <c r="F463" i="20" s="1"/>
  <c r="D464" i="20" s="1"/>
  <c r="E712" i="13"/>
  <c r="L32" i="35"/>
  <c r="L33" i="35" s="1"/>
  <c r="E36" i="35" s="1"/>
  <c r="I36" i="35" s="1"/>
  <c r="I33" i="35"/>
  <c r="G32" i="41"/>
  <c r="I31" i="41"/>
  <c r="L31" i="41" s="1"/>
  <c r="B74" i="2"/>
  <c r="B75" i="2" s="1"/>
  <c r="E80" i="2"/>
  <c r="E191" i="13"/>
  <c r="F191" i="13" s="1"/>
  <c r="E283" i="20"/>
  <c r="F283" i="20" s="1"/>
  <c r="D284" i="20" s="1"/>
  <c r="E104" i="13"/>
  <c r="F104" i="13" s="1"/>
  <c r="G40" i="35"/>
  <c r="F641" i="20"/>
  <c r="D642" i="20" s="1"/>
  <c r="F624" i="13"/>
  <c r="C67" i="11"/>
  <c r="A68" i="11"/>
  <c r="E79" i="2"/>
  <c r="F277" i="13"/>
  <c r="G103" i="13"/>
  <c r="F539" i="13" l="1"/>
  <c r="G539" i="13" s="1"/>
  <c r="E887" i="13"/>
  <c r="F887" i="13" s="1"/>
  <c r="D192" i="13"/>
  <c r="G191" i="13"/>
  <c r="E197" i="20"/>
  <c r="F197" i="20" s="1"/>
  <c r="D198" i="20" s="1"/>
  <c r="D105" i="13"/>
  <c r="G104" i="13"/>
  <c r="D366" i="13"/>
  <c r="G365" i="13"/>
  <c r="E284" i="20"/>
  <c r="F284" i="20" s="1"/>
  <c r="D285" i="20" s="1"/>
  <c r="I32" i="41"/>
  <c r="G39" i="41"/>
  <c r="G36" i="41"/>
  <c r="E911" i="20"/>
  <c r="F911" i="20" s="1"/>
  <c r="D912" i="20" s="1"/>
  <c r="E552" i="20"/>
  <c r="F552" i="20" s="1"/>
  <c r="E821" i="20"/>
  <c r="F821" i="20" s="1"/>
  <c r="D822" i="20" s="1"/>
  <c r="E453" i="13"/>
  <c r="F453" i="13" s="1"/>
  <c r="D278" i="13"/>
  <c r="G277" i="13"/>
  <c r="D625" i="13"/>
  <c r="G624" i="13"/>
  <c r="G41" i="35"/>
  <c r="E375" i="20"/>
  <c r="F375" i="20" s="1"/>
  <c r="D376" i="20" s="1"/>
  <c r="A42" i="34"/>
  <c r="A43" i="34" s="1"/>
  <c r="E642" i="20"/>
  <c r="F642" i="20" s="1"/>
  <c r="D643" i="20" s="1"/>
  <c r="B76" i="2"/>
  <c r="B78" i="2" s="1"/>
  <c r="B79" i="2" s="1"/>
  <c r="E81" i="2"/>
  <c r="E76" i="2"/>
  <c r="L36" i="35"/>
  <c r="E799" i="13"/>
  <c r="F799" i="13" s="1"/>
  <c r="E107" i="20"/>
  <c r="F107" i="20" s="1"/>
  <c r="D108" i="20" s="1"/>
  <c r="G452" i="13"/>
  <c r="E732" i="20"/>
  <c r="F732" i="20" s="1"/>
  <c r="C69" i="11"/>
  <c r="A69" i="11"/>
  <c r="F712" i="13"/>
  <c r="E464" i="20"/>
  <c r="F464" i="20" s="1"/>
  <c r="B43" i="34" l="1"/>
  <c r="D540" i="13"/>
  <c r="E540" i="13" s="1"/>
  <c r="F540" i="13" s="1"/>
  <c r="D888" i="13"/>
  <c r="E888" i="13" s="1"/>
  <c r="F888" i="13" s="1"/>
  <c r="D889" i="13" s="1"/>
  <c r="E889" i="13" s="1"/>
  <c r="F889" i="13" s="1"/>
  <c r="D890" i="13" s="1"/>
  <c r="G887" i="13"/>
  <c r="D800" i="13"/>
  <c r="G799" i="13"/>
  <c r="D465" i="20"/>
  <c r="D553" i="20"/>
  <c r="D733" i="20"/>
  <c r="D541" i="13"/>
  <c r="G540" i="13"/>
  <c r="D454" i="13"/>
  <c r="G453" i="13"/>
  <c r="E39" i="35"/>
  <c r="J39" i="35"/>
  <c r="E366" i="13"/>
  <c r="F366" i="13" s="1"/>
  <c r="E643" i="20"/>
  <c r="F643" i="20" s="1"/>
  <c r="L32" i="41"/>
  <c r="L33" i="41" s="1"/>
  <c r="E36" i="41" s="1"/>
  <c r="I33" i="41"/>
  <c r="E198" i="20"/>
  <c r="F198" i="20" s="1"/>
  <c r="D199" i="20" s="1"/>
  <c r="E278" i="13"/>
  <c r="F278" i="13" s="1"/>
  <c r="E912" i="20"/>
  <c r="F912" i="20" s="1"/>
  <c r="D913" i="20" s="1"/>
  <c r="E285" i="20"/>
  <c r="F285" i="20" s="1"/>
  <c r="E108" i="20"/>
  <c r="F108" i="20" s="1"/>
  <c r="I36" i="41"/>
  <c r="E376" i="20"/>
  <c r="F376" i="20" s="1"/>
  <c r="G42" i="35"/>
  <c r="E822" i="20"/>
  <c r="F822" i="20" s="1"/>
  <c r="D713" i="13"/>
  <c r="G712" i="13"/>
  <c r="C64" i="13"/>
  <c r="B80" i="2"/>
  <c r="B81" i="2" s="1"/>
  <c r="B82" i="2" s="1"/>
  <c r="C48" i="11"/>
  <c r="C64" i="20"/>
  <c r="A44" i="34"/>
  <c r="B44" i="34"/>
  <c r="E625" i="13"/>
  <c r="F625" i="13" s="1"/>
  <c r="D626" i="13" s="1"/>
  <c r="G40" i="41"/>
  <c r="E105" i="13"/>
  <c r="F105" i="13" s="1"/>
  <c r="E192" i="13"/>
  <c r="F192" i="13" s="1"/>
  <c r="G888" i="13" l="1"/>
  <c r="D106" i="13"/>
  <c r="E106" i="13" s="1"/>
  <c r="G105" i="13"/>
  <c r="D367" i="13"/>
  <c r="E367" i="13" s="1"/>
  <c r="F367" i="13" s="1"/>
  <c r="G366" i="13"/>
  <c r="G889" i="13"/>
  <c r="D823" i="20"/>
  <c r="D193" i="13"/>
  <c r="G192" i="13"/>
  <c r="D377" i="20"/>
  <c r="E626" i="13"/>
  <c r="F626" i="13" s="1"/>
  <c r="D627" i="13" s="1"/>
  <c r="E713" i="13"/>
  <c r="F713" i="13" s="1"/>
  <c r="J40" i="35"/>
  <c r="J41" i="35" s="1"/>
  <c r="J42" i="35" s="1"/>
  <c r="J43" i="35" s="1"/>
  <c r="J44" i="35" s="1"/>
  <c r="J45" i="35" s="1"/>
  <c r="J46" i="35" s="1"/>
  <c r="J47" i="35" s="1"/>
  <c r="J48" i="35" s="1"/>
  <c r="J49" i="35" s="1"/>
  <c r="J50" i="35" s="1"/>
  <c r="G43" i="35"/>
  <c r="D286" i="20"/>
  <c r="D279" i="13"/>
  <c r="G278" i="13"/>
  <c r="G41" i="41"/>
  <c r="E82" i="2"/>
  <c r="D644" i="20"/>
  <c r="L39" i="35"/>
  <c r="E40" i="35" s="1"/>
  <c r="I39" i="35"/>
  <c r="E541" i="13"/>
  <c r="F541" i="13" s="1"/>
  <c r="E553" i="20"/>
  <c r="F553" i="20" s="1"/>
  <c r="G625" i="13"/>
  <c r="A46" i="34"/>
  <c r="B85" i="2"/>
  <c r="B86" i="2" s="1"/>
  <c r="D109" i="20"/>
  <c r="E913" i="20"/>
  <c r="F913" i="20" s="1"/>
  <c r="D914" i="20" s="1"/>
  <c r="E890" i="13"/>
  <c r="F890" i="13" s="1"/>
  <c r="D891" i="13" s="1"/>
  <c r="L36" i="41"/>
  <c r="E454" i="13"/>
  <c r="F454" i="13" s="1"/>
  <c r="D455" i="13" s="1"/>
  <c r="E733" i="20"/>
  <c r="F733" i="20" s="1"/>
  <c r="E465" i="20"/>
  <c r="F465" i="20" s="1"/>
  <c r="E199" i="20"/>
  <c r="F199" i="20" s="1"/>
  <c r="E800" i="13"/>
  <c r="F800" i="13" s="1"/>
  <c r="D801" i="13" s="1"/>
  <c r="F106" i="13" l="1"/>
  <c r="D107" i="13" s="1"/>
  <c r="E107" i="13" s="1"/>
  <c r="F107" i="13" s="1"/>
  <c r="D542" i="13"/>
  <c r="G541" i="13"/>
  <c r="D368" i="13"/>
  <c r="G367" i="13"/>
  <c r="D200" i="20"/>
  <c r="D734" i="20"/>
  <c r="D714" i="13"/>
  <c r="G713" i="13"/>
  <c r="D466" i="20"/>
  <c r="E891" i="13"/>
  <c r="F891" i="13" s="1"/>
  <c r="D554" i="20"/>
  <c r="G42" i="41"/>
  <c r="E627" i="13"/>
  <c r="F627" i="13" s="1"/>
  <c r="A47" i="34"/>
  <c r="E109" i="20"/>
  <c r="F109" i="20" s="1"/>
  <c r="D110" i="20" s="1"/>
  <c r="L40" i="35"/>
  <c r="E41" i="35" s="1"/>
  <c r="I40" i="35"/>
  <c r="E644" i="20"/>
  <c r="F644" i="20" s="1"/>
  <c r="E914" i="20"/>
  <c r="F914" i="20" s="1"/>
  <c r="E377" i="20"/>
  <c r="F377" i="20" s="1"/>
  <c r="D378" i="20" s="1"/>
  <c r="E801" i="13"/>
  <c r="F801" i="13" s="1"/>
  <c r="D802" i="13" s="1"/>
  <c r="E455" i="13"/>
  <c r="F455" i="13" s="1"/>
  <c r="E39" i="41"/>
  <c r="J39" i="41"/>
  <c r="E279" i="13"/>
  <c r="F279" i="13" s="1"/>
  <c r="D280" i="13" s="1"/>
  <c r="B87" i="2"/>
  <c r="B88" i="2" s="1"/>
  <c r="B89" i="2" s="1"/>
  <c r="B90" i="2" s="1"/>
  <c r="B91" i="2" s="1"/>
  <c r="G800" i="13"/>
  <c r="G454" i="13"/>
  <c r="G890" i="13"/>
  <c r="E286" i="20"/>
  <c r="F286" i="20" s="1"/>
  <c r="G44" i="35"/>
  <c r="J53" i="35"/>
  <c r="J55" i="35" s="1"/>
  <c r="G626" i="13"/>
  <c r="E193" i="13"/>
  <c r="F193" i="13" s="1"/>
  <c r="D194" i="13" s="1"/>
  <c r="E823" i="20"/>
  <c r="F823" i="20" s="1"/>
  <c r="D824" i="20" s="1"/>
  <c r="G106" i="13" l="1"/>
  <c r="D645" i="20"/>
  <c r="E645" i="20" s="1"/>
  <c r="F645" i="20" s="1"/>
  <c r="D646" i="20" s="1"/>
  <c r="D287" i="20"/>
  <c r="E287" i="20" s="1"/>
  <c r="F287" i="20" s="1"/>
  <c r="D915" i="20"/>
  <c r="D108" i="13"/>
  <c r="G107" i="13"/>
  <c r="D892" i="13"/>
  <c r="G891" i="13"/>
  <c r="D456" i="13"/>
  <c r="G455" i="13"/>
  <c r="D628" i="13"/>
  <c r="G627" i="13"/>
  <c r="E824" i="20"/>
  <c r="F824" i="20" s="1"/>
  <c r="J40" i="41"/>
  <c r="J41" i="41" s="1"/>
  <c r="J42" i="41" s="1"/>
  <c r="J43" i="41" s="1"/>
  <c r="J44" i="41" s="1"/>
  <c r="J45" i="41" s="1"/>
  <c r="J46" i="41" s="1"/>
  <c r="J47" i="41" s="1"/>
  <c r="J48" i="41" s="1"/>
  <c r="J49" i="41" s="1"/>
  <c r="J50" i="41" s="1"/>
  <c r="E110" i="20"/>
  <c r="F110" i="20" s="1"/>
  <c r="D111" i="20" s="1"/>
  <c r="B93" i="2"/>
  <c r="B95" i="2" s="1"/>
  <c r="B97" i="2" s="1"/>
  <c r="B99" i="2" s="1"/>
  <c r="B100" i="2" s="1"/>
  <c r="L39" i="41"/>
  <c r="E40" i="41" s="1"/>
  <c r="I39" i="41"/>
  <c r="E91" i="2"/>
  <c r="G801" i="13"/>
  <c r="A48" i="34"/>
  <c r="A49" i="34" s="1"/>
  <c r="E554" i="20"/>
  <c r="F554" i="20" s="1"/>
  <c r="D555" i="20" s="1"/>
  <c r="E200" i="20"/>
  <c r="F200" i="20" s="1"/>
  <c r="E194" i="13"/>
  <c r="F194" i="13" s="1"/>
  <c r="E280" i="13"/>
  <c r="F280" i="13" s="1"/>
  <c r="D281" i="13" s="1"/>
  <c r="L41" i="35"/>
  <c r="E42" i="35" s="1"/>
  <c r="I41" i="35"/>
  <c r="G43" i="41"/>
  <c r="E802" i="13"/>
  <c r="F802" i="13" s="1"/>
  <c r="E466" i="20"/>
  <c r="F466" i="20" s="1"/>
  <c r="E368" i="13"/>
  <c r="F368" i="13" s="1"/>
  <c r="D369" i="13" s="1"/>
  <c r="E378" i="20"/>
  <c r="F378" i="20" s="1"/>
  <c r="G193" i="13"/>
  <c r="G45" i="35"/>
  <c r="G279" i="13"/>
  <c r="E714" i="13"/>
  <c r="F714" i="13" s="1"/>
  <c r="D715" i="13" s="1"/>
  <c r="E734" i="20"/>
  <c r="F734" i="20" s="1"/>
  <c r="E542" i="13"/>
  <c r="F542" i="13" s="1"/>
  <c r="B49" i="34" l="1"/>
  <c r="J53" i="41"/>
  <c r="J55" i="41" s="1"/>
  <c r="D195" i="13"/>
  <c r="E195" i="13" s="1"/>
  <c r="G194" i="13"/>
  <c r="D288" i="20"/>
  <c r="D379" i="20"/>
  <c r="D803" i="13"/>
  <c r="G802" i="13"/>
  <c r="D201" i="20"/>
  <c r="D735" i="20"/>
  <c r="D825" i="20"/>
  <c r="D543" i="13"/>
  <c r="G542" i="13"/>
  <c r="D467" i="20"/>
  <c r="A50" i="34"/>
  <c r="B52" i="34"/>
  <c r="B50" i="34"/>
  <c r="E111" i="20"/>
  <c r="F111" i="20" s="1"/>
  <c r="D112" i="20" s="1"/>
  <c r="E456" i="13"/>
  <c r="F456" i="13" s="1"/>
  <c r="D457" i="13" s="1"/>
  <c r="G46" i="35"/>
  <c r="G280" i="13"/>
  <c r="E715" i="13"/>
  <c r="F715" i="13" s="1"/>
  <c r="E369" i="13"/>
  <c r="F369" i="13" s="1"/>
  <c r="E646" i="20"/>
  <c r="F646" i="20" s="1"/>
  <c r="D647" i="20" s="1"/>
  <c r="L42" i="35"/>
  <c r="E43" i="35" s="1"/>
  <c r="I42" i="35"/>
  <c r="E281" i="13"/>
  <c r="F281" i="13" s="1"/>
  <c r="E555" i="20"/>
  <c r="F555" i="20" s="1"/>
  <c r="L40" i="41"/>
  <c r="E41" i="41" s="1"/>
  <c r="I40" i="41"/>
  <c r="E892" i="13"/>
  <c r="F892" i="13" s="1"/>
  <c r="G714" i="13"/>
  <c r="G368" i="13"/>
  <c r="E628" i="13"/>
  <c r="F628" i="13" s="1"/>
  <c r="D629" i="13" s="1"/>
  <c r="E915" i="20"/>
  <c r="F915" i="20" s="1"/>
  <c r="D916" i="20" s="1"/>
  <c r="G44" i="41"/>
  <c r="B101" i="2"/>
  <c r="B102" i="2" s="1"/>
  <c r="B103" i="2" s="1"/>
  <c r="B104" i="2" s="1"/>
  <c r="B105" i="2" s="1"/>
  <c r="B106" i="2" s="1"/>
  <c r="B107" i="2" s="1"/>
  <c r="B108" i="2" s="1"/>
  <c r="E108" i="13"/>
  <c r="F108" i="13" s="1"/>
  <c r="D109" i="13" s="1"/>
  <c r="E108" i="2" l="1"/>
  <c r="F195" i="13"/>
  <c r="D196" i="13" s="1"/>
  <c r="E196" i="13" s="1"/>
  <c r="F196" i="13" s="1"/>
  <c r="D197" i="13" s="1"/>
  <c r="G108" i="13"/>
  <c r="G628" i="13"/>
  <c r="D893" i="13"/>
  <c r="G892" i="13"/>
  <c r="D282" i="13"/>
  <c r="G281" i="13"/>
  <c r="D556" i="20"/>
  <c r="D370" i="13"/>
  <c r="G369" i="13"/>
  <c r="D716" i="13"/>
  <c r="G715" i="13"/>
  <c r="L41" i="41"/>
  <c r="E42" i="41" s="1"/>
  <c r="I41" i="41"/>
  <c r="E647" i="20"/>
  <c r="F647" i="20" s="1"/>
  <c r="E457" i="13"/>
  <c r="F457" i="13" s="1"/>
  <c r="E379" i="20"/>
  <c r="F379" i="20" s="1"/>
  <c r="D380" i="20" s="1"/>
  <c r="E109" i="13"/>
  <c r="F109" i="13" s="1"/>
  <c r="E916" i="20"/>
  <c r="F916" i="20" s="1"/>
  <c r="D917" i="20" s="1"/>
  <c r="E803" i="13"/>
  <c r="F803" i="13" s="1"/>
  <c r="D804" i="13" s="1"/>
  <c r="E112" i="20"/>
  <c r="F112" i="20" s="1"/>
  <c r="E825" i="20"/>
  <c r="F825" i="20" s="1"/>
  <c r="E543" i="13"/>
  <c r="F543" i="13" s="1"/>
  <c r="B110" i="2"/>
  <c r="D112" i="2"/>
  <c r="G45" i="41"/>
  <c r="G47" i="35"/>
  <c r="G456" i="13"/>
  <c r="E467" i="20"/>
  <c r="F467" i="20" s="1"/>
  <c r="E201" i="20"/>
  <c r="F201" i="20" s="1"/>
  <c r="E629" i="13"/>
  <c r="F629" i="13" s="1"/>
  <c r="D630" i="13" s="1"/>
  <c r="L43" i="35"/>
  <c r="E44" i="35" s="1"/>
  <c r="I43" i="35"/>
  <c r="A52" i="34"/>
  <c r="B53" i="34"/>
  <c r="E735" i="20"/>
  <c r="F735" i="20" s="1"/>
  <c r="E288" i="20"/>
  <c r="F288" i="20" s="1"/>
  <c r="D289" i="20" s="1"/>
  <c r="G195" i="13" l="1"/>
  <c r="D468" i="20"/>
  <c r="E468" i="20" s="1"/>
  <c r="F468" i="20" s="1"/>
  <c r="D648" i="20"/>
  <c r="E648" i="20" s="1"/>
  <c r="F648" i="20" s="1"/>
  <c r="D826" i="20"/>
  <c r="E826" i="20" s="1"/>
  <c r="F826" i="20" s="1"/>
  <c r="D113" i="20"/>
  <c r="D458" i="13"/>
  <c r="G457" i="13"/>
  <c r="D736" i="20"/>
  <c r="D202" i="20"/>
  <c r="D544" i="13"/>
  <c r="G543" i="13"/>
  <c r="D110" i="13"/>
  <c r="G109" i="13"/>
  <c r="B57" i="34"/>
  <c r="A53" i="34"/>
  <c r="B64" i="34"/>
  <c r="G48" i="35"/>
  <c r="E804" i="13"/>
  <c r="F804" i="13" s="1"/>
  <c r="D805" i="13" s="1"/>
  <c r="E917" i="20"/>
  <c r="F917" i="20" s="1"/>
  <c r="D918" i="20" s="1"/>
  <c r="E380" i="20"/>
  <c r="F380" i="20" s="1"/>
  <c r="D381" i="20" s="1"/>
  <c r="L42" i="41"/>
  <c r="E43" i="41" s="1"/>
  <c r="I42" i="41"/>
  <c r="E370" i="13"/>
  <c r="F370" i="13" s="1"/>
  <c r="D371" i="13" s="1"/>
  <c r="L44" i="35"/>
  <c r="E45" i="35" s="1"/>
  <c r="I44" i="35"/>
  <c r="G629" i="13"/>
  <c r="B112" i="2"/>
  <c r="D301" i="2"/>
  <c r="G803" i="13"/>
  <c r="E893" i="13"/>
  <c r="F893" i="13" s="1"/>
  <c r="E289" i="20"/>
  <c r="F289" i="20" s="1"/>
  <c r="E197" i="13"/>
  <c r="F197" i="13" s="1"/>
  <c r="E556" i="20"/>
  <c r="F556" i="20" s="1"/>
  <c r="E630" i="13"/>
  <c r="F630" i="13" s="1"/>
  <c r="G46" i="41"/>
  <c r="G196" i="13"/>
  <c r="E716" i="13"/>
  <c r="F716" i="13" s="1"/>
  <c r="E282" i="13"/>
  <c r="F282" i="13" s="1"/>
  <c r="D469" i="20" l="1"/>
  <c r="E469" i="20" s="1"/>
  <c r="D717" i="13"/>
  <c r="G716" i="13"/>
  <c r="D649" i="20"/>
  <c r="D631" i="13"/>
  <c r="G630" i="13"/>
  <c r="D198" i="13"/>
  <c r="G197" i="13"/>
  <c r="D283" i="13"/>
  <c r="G282" i="13"/>
  <c r="D557" i="20"/>
  <c r="D290" i="20"/>
  <c r="D894" i="13"/>
  <c r="G893" i="13"/>
  <c r="D827" i="20"/>
  <c r="E381" i="20"/>
  <c r="F381" i="20" s="1"/>
  <c r="E805" i="13"/>
  <c r="F805" i="13" s="1"/>
  <c r="B80" i="34"/>
  <c r="B203" i="34"/>
  <c r="A56" i="34"/>
  <c r="G47" i="41"/>
  <c r="E371" i="13"/>
  <c r="F371" i="13" s="1"/>
  <c r="D372" i="13" s="1"/>
  <c r="L43" i="41"/>
  <c r="E44" i="41" s="1"/>
  <c r="I43" i="41"/>
  <c r="E544" i="13"/>
  <c r="F544" i="13" s="1"/>
  <c r="D545" i="13" s="1"/>
  <c r="E736" i="20"/>
  <c r="F736" i="20" s="1"/>
  <c r="D737" i="20" s="1"/>
  <c r="C28" i="13"/>
  <c r="C28" i="20"/>
  <c r="B127" i="2"/>
  <c r="G804" i="13"/>
  <c r="E202" i="20"/>
  <c r="F202" i="20" s="1"/>
  <c r="E113" i="20"/>
  <c r="F113" i="20" s="1"/>
  <c r="D114" i="20" s="1"/>
  <c r="E918" i="20"/>
  <c r="F918" i="20" s="1"/>
  <c r="D919" i="20" s="1"/>
  <c r="L45" i="35"/>
  <c r="E46" i="35" s="1"/>
  <c r="I45" i="35"/>
  <c r="G370" i="13"/>
  <c r="G49" i="35"/>
  <c r="E110" i="13"/>
  <c r="F110" i="13" s="1"/>
  <c r="D111" i="13" s="1"/>
  <c r="E458" i="13"/>
  <c r="F458" i="13" s="1"/>
  <c r="D459" i="13" s="1"/>
  <c r="D382" i="20" l="1"/>
  <c r="E382" i="20" s="1"/>
  <c r="F382" i="20" s="1"/>
  <c r="D806" i="13"/>
  <c r="E806" i="13" s="1"/>
  <c r="F806" i="13" s="1"/>
  <c r="D807" i="13" s="1"/>
  <c r="G805" i="13"/>
  <c r="F469" i="20"/>
  <c r="D470" i="20" s="1"/>
  <c r="E470" i="20" s="1"/>
  <c r="F470" i="20" s="1"/>
  <c r="D203" i="20"/>
  <c r="E203" i="20" s="1"/>
  <c r="F203" i="20" s="1"/>
  <c r="G371" i="13"/>
  <c r="L46" i="35"/>
  <c r="E47" i="35" s="1"/>
  <c r="I46" i="35"/>
  <c r="L44" i="41"/>
  <c r="E45" i="41" s="1"/>
  <c r="I44" i="41"/>
  <c r="A57" i="34"/>
  <c r="A58" i="34" s="1"/>
  <c r="E290" i="20"/>
  <c r="F290" i="20" s="1"/>
  <c r="D291" i="20" s="1"/>
  <c r="E649" i="20"/>
  <c r="F649" i="20" s="1"/>
  <c r="D650" i="20" s="1"/>
  <c r="E111" i="13"/>
  <c r="F111" i="13" s="1"/>
  <c r="G50" i="35"/>
  <c r="E114" i="20"/>
  <c r="F114" i="20" s="1"/>
  <c r="B128" i="2"/>
  <c r="B129" i="2" s="1"/>
  <c r="E130" i="2" s="1"/>
  <c r="E737" i="20"/>
  <c r="F737" i="20" s="1"/>
  <c r="E545" i="13"/>
  <c r="F545" i="13" s="1"/>
  <c r="G48" i="41"/>
  <c r="G110" i="13"/>
  <c r="E372" i="13"/>
  <c r="F372" i="13" s="1"/>
  <c r="D373" i="13" s="1"/>
  <c r="E557" i="20"/>
  <c r="F557" i="20" s="1"/>
  <c r="E198" i="13"/>
  <c r="F198" i="13" s="1"/>
  <c r="D199" i="13" s="1"/>
  <c r="E919" i="20"/>
  <c r="F919" i="20" s="1"/>
  <c r="G458" i="13"/>
  <c r="G544" i="13"/>
  <c r="E894" i="13"/>
  <c r="F894" i="13" s="1"/>
  <c r="E283" i="13"/>
  <c r="F283" i="13" s="1"/>
  <c r="E631" i="13"/>
  <c r="F631" i="13" s="1"/>
  <c r="E459" i="13"/>
  <c r="F459" i="13" s="1"/>
  <c r="D460" i="13" s="1"/>
  <c r="E827" i="20"/>
  <c r="F827" i="20" s="1"/>
  <c r="D828" i="20" s="1"/>
  <c r="E717" i="13"/>
  <c r="F717" i="13" s="1"/>
  <c r="D920" i="20" l="1"/>
  <c r="E920" i="20" s="1"/>
  <c r="D112" i="13"/>
  <c r="E112" i="13" s="1"/>
  <c r="F112" i="13" s="1"/>
  <c r="G111" i="13"/>
  <c r="D471" i="20"/>
  <c r="E471" i="20" s="1"/>
  <c r="D383" i="20"/>
  <c r="E383" i="20" s="1"/>
  <c r="F383" i="20" s="1"/>
  <c r="D115" i="20"/>
  <c r="D632" i="13"/>
  <c r="G631" i="13"/>
  <c r="D738" i="20"/>
  <c r="D718" i="13"/>
  <c r="G717" i="13"/>
  <c r="D284" i="13"/>
  <c r="G283" i="13"/>
  <c r="D558" i="20"/>
  <c r="D204" i="20"/>
  <c r="D895" i="13"/>
  <c r="G894" i="13"/>
  <c r="D546" i="13"/>
  <c r="G545" i="13"/>
  <c r="E650" i="20"/>
  <c r="F650" i="20" s="1"/>
  <c r="E291" i="20"/>
  <c r="F291" i="20" s="1"/>
  <c r="D292" i="20" s="1"/>
  <c r="E807" i="13"/>
  <c r="F807" i="13" s="1"/>
  <c r="L45" i="41"/>
  <c r="E46" i="41" s="1"/>
  <c r="I45" i="41"/>
  <c r="G198" i="13"/>
  <c r="G372" i="13"/>
  <c r="E460" i="13"/>
  <c r="F460" i="13" s="1"/>
  <c r="E828" i="20"/>
  <c r="F828" i="20" s="1"/>
  <c r="E373" i="13"/>
  <c r="F373" i="13" s="1"/>
  <c r="G49" i="41"/>
  <c r="B130" i="2"/>
  <c r="B131" i="2" s="1"/>
  <c r="G806" i="13"/>
  <c r="E199" i="13"/>
  <c r="F199" i="13" s="1"/>
  <c r="A59" i="34"/>
  <c r="G459" i="13"/>
  <c r="L47" i="35"/>
  <c r="E48" i="35" s="1"/>
  <c r="I47" i="35"/>
  <c r="F920" i="20" l="1"/>
  <c r="D921" i="20" s="1"/>
  <c r="E921" i="20" s="1"/>
  <c r="F921" i="20" s="1"/>
  <c r="F471" i="20"/>
  <c r="D384" i="20"/>
  <c r="E384" i="20" s="1"/>
  <c r="F384" i="20" s="1"/>
  <c r="D461" i="13"/>
  <c r="E461" i="13" s="1"/>
  <c r="F461" i="13" s="1"/>
  <c r="G460" i="13"/>
  <c r="D113" i="13"/>
  <c r="G112" i="13"/>
  <c r="D808" i="13"/>
  <c r="G807" i="13"/>
  <c r="D200" i="13"/>
  <c r="G199" i="13"/>
  <c r="D829" i="20"/>
  <c r="D651" i="20"/>
  <c r="D374" i="13"/>
  <c r="G373" i="13"/>
  <c r="L48" i="35"/>
  <c r="E49" i="35" s="1"/>
  <c r="I48" i="35"/>
  <c r="A60" i="34"/>
  <c r="E41" i="2"/>
  <c r="B132" i="2"/>
  <c r="B133" i="2" s="1"/>
  <c r="D296" i="2"/>
  <c r="E292" i="20"/>
  <c r="F292" i="20" s="1"/>
  <c r="E204" i="20"/>
  <c r="F204" i="20" s="1"/>
  <c r="E632" i="13"/>
  <c r="F632" i="13" s="1"/>
  <c r="D633" i="13" s="1"/>
  <c r="E895" i="13"/>
  <c r="F895" i="13" s="1"/>
  <c r="E284" i="13"/>
  <c r="F284" i="13" s="1"/>
  <c r="E738" i="20"/>
  <c r="F738" i="20" s="1"/>
  <c r="D739" i="20" s="1"/>
  <c r="G50" i="41"/>
  <c r="L46" i="41"/>
  <c r="E47" i="41" s="1"/>
  <c r="I46" i="41"/>
  <c r="E546" i="13"/>
  <c r="F546" i="13" s="1"/>
  <c r="D547" i="13" s="1"/>
  <c r="E558" i="20"/>
  <c r="F558" i="20" s="1"/>
  <c r="D559" i="20" s="1"/>
  <c r="E718" i="13"/>
  <c r="F718" i="13" s="1"/>
  <c r="E115" i="20"/>
  <c r="F115" i="20" s="1"/>
  <c r="E134" i="2" l="1"/>
  <c r="D472" i="20"/>
  <c r="E472" i="20" s="1"/>
  <c r="F472" i="20" s="1"/>
  <c r="D473" i="20" s="1"/>
  <c r="D205" i="20"/>
  <c r="E205" i="20" s="1"/>
  <c r="F205" i="20" s="1"/>
  <c r="D116" i="20"/>
  <c r="D896" i="13"/>
  <c r="G895" i="13"/>
  <c r="D462" i="13"/>
  <c r="G461" i="13"/>
  <c r="D293" i="20"/>
  <c r="D922" i="20"/>
  <c r="D719" i="13"/>
  <c r="G718" i="13"/>
  <c r="D285" i="13"/>
  <c r="G284" i="13"/>
  <c r="D385" i="20"/>
  <c r="E559" i="20"/>
  <c r="F559" i="20" s="1"/>
  <c r="E739" i="20"/>
  <c r="F739" i="20" s="1"/>
  <c r="D740" i="20" s="1"/>
  <c r="L49" i="35"/>
  <c r="E50" i="35" s="1"/>
  <c r="I49" i="35"/>
  <c r="E829" i="20"/>
  <c r="F829" i="20" s="1"/>
  <c r="E808" i="13"/>
  <c r="F808" i="13" s="1"/>
  <c r="D809" i="13" s="1"/>
  <c r="L47" i="41"/>
  <c r="E48" i="41" s="1"/>
  <c r="I47" i="41"/>
  <c r="E651" i="20"/>
  <c r="F651" i="20" s="1"/>
  <c r="E547" i="13"/>
  <c r="F547" i="13" s="1"/>
  <c r="D548" i="13" s="1"/>
  <c r="E633" i="13"/>
  <c r="F633" i="13" s="1"/>
  <c r="D634" i="13" s="1"/>
  <c r="D298" i="2"/>
  <c r="B134" i="2"/>
  <c r="G546" i="13"/>
  <c r="G632" i="13"/>
  <c r="A63" i="34"/>
  <c r="B65" i="34"/>
  <c r="E374" i="13"/>
  <c r="F374" i="13" s="1"/>
  <c r="E200" i="13"/>
  <c r="F200" i="13" s="1"/>
  <c r="D201" i="13" s="1"/>
  <c r="E113" i="13"/>
  <c r="F113" i="13" s="1"/>
  <c r="D114" i="13" s="1"/>
  <c r="D830" i="20" l="1"/>
  <c r="G547" i="13"/>
  <c r="G808" i="13"/>
  <c r="D560" i="20"/>
  <c r="D375" i="13"/>
  <c r="G374" i="13"/>
  <c r="D652" i="20"/>
  <c r="D206" i="20"/>
  <c r="G200" i="13"/>
  <c r="A64" i="34"/>
  <c r="E293" i="20"/>
  <c r="F293" i="20" s="1"/>
  <c r="D294" i="20" s="1"/>
  <c r="E896" i="13"/>
  <c r="F896" i="13" s="1"/>
  <c r="G113" i="13"/>
  <c r="E201" i="13"/>
  <c r="F201" i="13" s="1"/>
  <c r="D295" i="2"/>
  <c r="E100" i="2"/>
  <c r="B136" i="2"/>
  <c r="E634" i="13"/>
  <c r="F634" i="13" s="1"/>
  <c r="L50" i="35"/>
  <c r="I50" i="35"/>
  <c r="I51" i="35" s="1"/>
  <c r="E285" i="13"/>
  <c r="F285" i="13" s="1"/>
  <c r="D286" i="13" s="1"/>
  <c r="E922" i="20"/>
  <c r="F922" i="20" s="1"/>
  <c r="E114" i="13"/>
  <c r="F114" i="13" s="1"/>
  <c r="G633" i="13"/>
  <c r="E548" i="13"/>
  <c r="F548" i="13" s="1"/>
  <c r="E809" i="13"/>
  <c r="F809" i="13" s="1"/>
  <c r="E830" i="20"/>
  <c r="F830" i="20" s="1"/>
  <c r="D831" i="20" s="1"/>
  <c r="E740" i="20"/>
  <c r="F740" i="20" s="1"/>
  <c r="E473" i="20"/>
  <c r="F473" i="20" s="1"/>
  <c r="E462" i="13"/>
  <c r="F462" i="13" s="1"/>
  <c r="D463" i="13" s="1"/>
  <c r="L48" i="41"/>
  <c r="E49" i="41" s="1"/>
  <c r="I48" i="41"/>
  <c r="E385" i="20"/>
  <c r="F385" i="20" s="1"/>
  <c r="D386" i="20" s="1"/>
  <c r="E719" i="13"/>
  <c r="F719" i="13" s="1"/>
  <c r="D720" i="13" s="1"/>
  <c r="E116" i="20"/>
  <c r="F116" i="20" s="1"/>
  <c r="D923" i="20" l="1"/>
  <c r="E923" i="20" s="1"/>
  <c r="F923" i="20" s="1"/>
  <c r="D924" i="20" s="1"/>
  <c r="D474" i="20"/>
  <c r="E474" i="20" s="1"/>
  <c r="F474" i="20" s="1"/>
  <c r="D635" i="13"/>
  <c r="G634" i="13"/>
  <c r="D897" i="13"/>
  <c r="G896" i="13"/>
  <c r="D741" i="20"/>
  <c r="D115" i="13"/>
  <c r="G114" i="13"/>
  <c r="D117" i="20"/>
  <c r="D810" i="13"/>
  <c r="G809" i="13"/>
  <c r="D549" i="13"/>
  <c r="G548" i="13"/>
  <c r="D202" i="13"/>
  <c r="G201" i="13"/>
  <c r="E386" i="20"/>
  <c r="F386" i="20" s="1"/>
  <c r="D387" i="20" s="1"/>
  <c r="G719" i="13"/>
  <c r="L49" i="41"/>
  <c r="E50" i="41" s="1"/>
  <c r="I49" i="41"/>
  <c r="E463" i="13"/>
  <c r="F463" i="13" s="1"/>
  <c r="G285" i="13"/>
  <c r="E375" i="13"/>
  <c r="F375" i="13" s="1"/>
  <c r="E294" i="20"/>
  <c r="F294" i="20" s="1"/>
  <c r="E720" i="13"/>
  <c r="F720" i="13" s="1"/>
  <c r="D721" i="13" s="1"/>
  <c r="E831" i="20"/>
  <c r="F831" i="20" s="1"/>
  <c r="D832" i="20" s="1"/>
  <c r="E652" i="20"/>
  <c r="F652" i="20" s="1"/>
  <c r="E286" i="13"/>
  <c r="F286" i="13" s="1"/>
  <c r="D287" i="13" s="1"/>
  <c r="B137" i="2"/>
  <c r="G462" i="13"/>
  <c r="A65" i="34"/>
  <c r="E206" i="20"/>
  <c r="F206" i="20" s="1"/>
  <c r="E560" i="20"/>
  <c r="F560" i="20" s="1"/>
  <c r="D475" i="20" l="1"/>
  <c r="E475" i="20" s="1"/>
  <c r="F475" i="20" s="1"/>
  <c r="D295" i="20"/>
  <c r="E295" i="20" s="1"/>
  <c r="F295" i="20" s="1"/>
  <c r="D561" i="20"/>
  <c r="D464" i="13"/>
  <c r="G463" i="13"/>
  <c r="D653" i="20"/>
  <c r="D376" i="13"/>
  <c r="G375" i="13"/>
  <c r="D207" i="20"/>
  <c r="E897" i="13"/>
  <c r="F897" i="13" s="1"/>
  <c r="D898" i="13" s="1"/>
  <c r="A66" i="34"/>
  <c r="B70" i="34"/>
  <c r="E832" i="20"/>
  <c r="F832" i="20" s="1"/>
  <c r="E721" i="13"/>
  <c r="F721" i="13" s="1"/>
  <c r="L50" i="41"/>
  <c r="I50" i="41"/>
  <c r="I51" i="41" s="1"/>
  <c r="E387" i="20"/>
  <c r="F387" i="20" s="1"/>
  <c r="E115" i="13"/>
  <c r="F115" i="13" s="1"/>
  <c r="D116" i="13" s="1"/>
  <c r="E287" i="13"/>
  <c r="F287" i="13" s="1"/>
  <c r="D288" i="13" s="1"/>
  <c r="G720" i="13"/>
  <c r="E924" i="20"/>
  <c r="F924" i="20" s="1"/>
  <c r="D925" i="20" s="1"/>
  <c r="E117" i="20"/>
  <c r="F117" i="20" s="1"/>
  <c r="E549" i="13"/>
  <c r="F549" i="13" s="1"/>
  <c r="D550" i="13" s="1"/>
  <c r="E142" i="2"/>
  <c r="B138" i="2"/>
  <c r="B139" i="2" s="1"/>
  <c r="B140" i="2" s="1"/>
  <c r="G286" i="13"/>
  <c r="E202" i="13"/>
  <c r="F202" i="13" s="1"/>
  <c r="D203" i="13" s="1"/>
  <c r="E810" i="13"/>
  <c r="F810" i="13" s="1"/>
  <c r="E741" i="20"/>
  <c r="F741" i="20" s="1"/>
  <c r="D742" i="20" s="1"/>
  <c r="E635" i="13"/>
  <c r="F635" i="13" s="1"/>
  <c r="D118" i="20" l="1"/>
  <c r="E118" i="20" s="1"/>
  <c r="F118" i="20" s="1"/>
  <c r="G202" i="13"/>
  <c r="D296" i="20"/>
  <c r="E296" i="20" s="1"/>
  <c r="F296" i="20" s="1"/>
  <c r="D297" i="20" s="1"/>
  <c r="G897" i="13"/>
  <c r="D722" i="13"/>
  <c r="G721" i="13"/>
  <c r="D388" i="20"/>
  <c r="D811" i="13"/>
  <c r="G810" i="13"/>
  <c r="D636" i="13"/>
  <c r="G635" i="13"/>
  <c r="D476" i="20"/>
  <c r="D833" i="20"/>
  <c r="E742" i="20"/>
  <c r="F742" i="20" s="1"/>
  <c r="E116" i="13"/>
  <c r="F116" i="13" s="1"/>
  <c r="E550" i="13"/>
  <c r="F550" i="13" s="1"/>
  <c r="G287" i="13"/>
  <c r="E898" i="13"/>
  <c r="F898" i="13" s="1"/>
  <c r="D899" i="13" s="1"/>
  <c r="E207" i="20"/>
  <c r="F207" i="20" s="1"/>
  <c r="E925" i="20"/>
  <c r="F925" i="20" s="1"/>
  <c r="E464" i="13"/>
  <c r="F464" i="13" s="1"/>
  <c r="E203" i="13"/>
  <c r="F203" i="13" s="1"/>
  <c r="B141" i="2"/>
  <c r="E141" i="2"/>
  <c r="E288" i="13"/>
  <c r="F288" i="13" s="1"/>
  <c r="D289" i="13" s="1"/>
  <c r="G115" i="13"/>
  <c r="E653" i="20"/>
  <c r="F653" i="20" s="1"/>
  <c r="D654" i="20" s="1"/>
  <c r="G549" i="13"/>
  <c r="A68" i="34"/>
  <c r="B68" i="34"/>
  <c r="B69" i="34"/>
  <c r="E376" i="13"/>
  <c r="F376" i="13" s="1"/>
  <c r="E561" i="20"/>
  <c r="F561" i="20" s="1"/>
  <c r="D562" i="20" s="1"/>
  <c r="G898" i="13" l="1"/>
  <c r="D926" i="20"/>
  <c r="E926" i="20" s="1"/>
  <c r="F926" i="20" s="1"/>
  <c r="G288" i="13"/>
  <c r="D465" i="13"/>
  <c r="G464" i="13"/>
  <c r="D208" i="20"/>
  <c r="D119" i="20"/>
  <c r="D743" i="20"/>
  <c r="D377" i="13"/>
  <c r="G376" i="13"/>
  <c r="D204" i="13"/>
  <c r="G203" i="13"/>
  <c r="D551" i="13"/>
  <c r="G550" i="13"/>
  <c r="D117" i="13"/>
  <c r="G116" i="13"/>
  <c r="E636" i="13"/>
  <c r="F636" i="13" s="1"/>
  <c r="D637" i="13" s="1"/>
  <c r="E388" i="20"/>
  <c r="F388" i="20" s="1"/>
  <c r="E289" i="13"/>
  <c r="F289" i="13" s="1"/>
  <c r="E297" i="20"/>
  <c r="F297" i="20" s="1"/>
  <c r="D298" i="20" s="1"/>
  <c r="B142" i="2"/>
  <c r="B143" i="2" s="1"/>
  <c r="B144" i="2" s="1"/>
  <c r="B145" i="2" s="1"/>
  <c r="B146" i="2" s="1"/>
  <c r="B147" i="2" s="1"/>
  <c r="E899" i="13"/>
  <c r="F899" i="13" s="1"/>
  <c r="E476" i="20"/>
  <c r="F476" i="20" s="1"/>
  <c r="E811" i="13"/>
  <c r="F811" i="13" s="1"/>
  <c r="E654" i="20"/>
  <c r="F654" i="20" s="1"/>
  <c r="E562" i="20"/>
  <c r="F562" i="20" s="1"/>
  <c r="A69" i="34"/>
  <c r="E833" i="20"/>
  <c r="F833" i="20" s="1"/>
  <c r="D834" i="20" s="1"/>
  <c r="E722" i="13"/>
  <c r="F722" i="13" s="1"/>
  <c r="D563" i="20" l="1"/>
  <c r="D389" i="20"/>
  <c r="E389" i="20" s="1"/>
  <c r="F389" i="20" s="1"/>
  <c r="D390" i="20" s="1"/>
  <c r="D927" i="20"/>
  <c r="E927" i="20" s="1"/>
  <c r="F927" i="20" s="1"/>
  <c r="D812" i="13"/>
  <c r="E812" i="13" s="1"/>
  <c r="F812" i="13" s="1"/>
  <c r="G811" i="13"/>
  <c r="D900" i="13"/>
  <c r="G899" i="13"/>
  <c r="D655" i="20"/>
  <c r="D290" i="13"/>
  <c r="G289" i="13"/>
  <c r="D477" i="20"/>
  <c r="D723" i="13"/>
  <c r="G722" i="13"/>
  <c r="E377" i="13"/>
  <c r="F377" i="13" s="1"/>
  <c r="B149" i="2"/>
  <c r="D299" i="2"/>
  <c r="E149" i="2"/>
  <c r="G636" i="13"/>
  <c r="E208" i="20"/>
  <c r="F208" i="20" s="1"/>
  <c r="E637" i="13"/>
  <c r="F637" i="13" s="1"/>
  <c r="E563" i="20"/>
  <c r="F563" i="20" s="1"/>
  <c r="D564" i="20" s="1"/>
  <c r="E298" i="20"/>
  <c r="F298" i="20" s="1"/>
  <c r="E147" i="2"/>
  <c r="E117" i="13"/>
  <c r="F117" i="13" s="1"/>
  <c r="E204" i="13"/>
  <c r="F204" i="13" s="1"/>
  <c r="E119" i="20"/>
  <c r="F119" i="20" s="1"/>
  <c r="E834" i="20"/>
  <c r="F834" i="20" s="1"/>
  <c r="E551" i="13"/>
  <c r="F551" i="13" s="1"/>
  <c r="D552" i="13" s="1"/>
  <c r="A70" i="34"/>
  <c r="E743" i="20"/>
  <c r="F743" i="20" s="1"/>
  <c r="E465" i="13"/>
  <c r="F465" i="13" s="1"/>
  <c r="D744" i="20" l="1"/>
  <c r="E744" i="20" s="1"/>
  <c r="F744" i="20" s="1"/>
  <c r="D378" i="13"/>
  <c r="E378" i="13" s="1"/>
  <c r="F378" i="13" s="1"/>
  <c r="G377" i="13"/>
  <c r="D209" i="20"/>
  <c r="E209" i="20" s="1"/>
  <c r="F209" i="20" s="1"/>
  <c r="D120" i="20"/>
  <c r="D835" i="20"/>
  <c r="D813" i="13"/>
  <c r="G812" i="13"/>
  <c r="D118" i="13"/>
  <c r="G117" i="13"/>
  <c r="D466" i="13"/>
  <c r="G465" i="13"/>
  <c r="D299" i="20"/>
  <c r="D205" i="13"/>
  <c r="G204" i="13"/>
  <c r="D638" i="13"/>
  <c r="G637" i="13"/>
  <c r="D928" i="20"/>
  <c r="B150" i="2"/>
  <c r="E290" i="13"/>
  <c r="F290" i="13" s="1"/>
  <c r="D291" i="13" s="1"/>
  <c r="E552" i="13"/>
  <c r="F552" i="13" s="1"/>
  <c r="E390" i="20"/>
  <c r="F390" i="20" s="1"/>
  <c r="E564" i="20"/>
  <c r="F564" i="20" s="1"/>
  <c r="E477" i="20"/>
  <c r="F477" i="20" s="1"/>
  <c r="D478" i="20" s="1"/>
  <c r="A72" i="34"/>
  <c r="A74" i="34" s="1"/>
  <c r="A75" i="34" s="1"/>
  <c r="A76" i="34" s="1"/>
  <c r="A79" i="34" s="1"/>
  <c r="E723" i="13"/>
  <c r="F723" i="13" s="1"/>
  <c r="E655" i="20"/>
  <c r="F655" i="20" s="1"/>
  <c r="G551" i="13"/>
  <c r="E900" i="13"/>
  <c r="F900" i="13" s="1"/>
  <c r="D901" i="13" s="1"/>
  <c r="D379" i="13" l="1"/>
  <c r="E379" i="13" s="1"/>
  <c r="F379" i="13" s="1"/>
  <c r="D380" i="13" s="1"/>
  <c r="G378" i="13"/>
  <c r="D553" i="13"/>
  <c r="G552" i="13"/>
  <c r="D210" i="20"/>
  <c r="E210" i="20" s="1"/>
  <c r="D565" i="20"/>
  <c r="D656" i="20"/>
  <c r="D724" i="13"/>
  <c r="G723" i="13"/>
  <c r="D745" i="20"/>
  <c r="D391" i="20"/>
  <c r="E901" i="13"/>
  <c r="F901" i="13" s="1"/>
  <c r="E478" i="20"/>
  <c r="F478" i="20" s="1"/>
  <c r="C48" i="13"/>
  <c r="D314" i="2"/>
  <c r="E27" i="2"/>
  <c r="C48" i="20"/>
  <c r="B151" i="2"/>
  <c r="D312" i="2"/>
  <c r="D309" i="2"/>
  <c r="E466" i="13"/>
  <c r="F466" i="13" s="1"/>
  <c r="D467" i="13" s="1"/>
  <c r="E813" i="13"/>
  <c r="F813" i="13" s="1"/>
  <c r="A80" i="34"/>
  <c r="B84" i="34"/>
  <c r="E638" i="13"/>
  <c r="F638" i="13" s="1"/>
  <c r="G290" i="13"/>
  <c r="E151" i="2"/>
  <c r="E928" i="20"/>
  <c r="F928" i="20" s="1"/>
  <c r="E205" i="13"/>
  <c r="F205" i="13" s="1"/>
  <c r="E835" i="20"/>
  <c r="F835" i="20" s="1"/>
  <c r="D836" i="20" s="1"/>
  <c r="G900" i="13"/>
  <c r="E291" i="13"/>
  <c r="F291" i="13" s="1"/>
  <c r="D292" i="13" s="1"/>
  <c r="E299" i="20"/>
  <c r="F299" i="20" s="1"/>
  <c r="D300" i="20" s="1"/>
  <c r="E118" i="13"/>
  <c r="F118" i="13" s="1"/>
  <c r="E120" i="20"/>
  <c r="F120" i="20" s="1"/>
  <c r="E553" i="13" l="1"/>
  <c r="F553" i="13" s="1"/>
  <c r="E565" i="20"/>
  <c r="F565" i="20" s="1"/>
  <c r="F210" i="20"/>
  <c r="D211" i="20" s="1"/>
  <c r="E211" i="20" s="1"/>
  <c r="F211" i="20" s="1"/>
  <c r="D902" i="13"/>
  <c r="G901" i="13"/>
  <c r="D119" i="13"/>
  <c r="G118" i="13"/>
  <c r="D929" i="20"/>
  <c r="D121" i="20"/>
  <c r="D206" i="13"/>
  <c r="G205" i="13"/>
  <c r="D639" i="13"/>
  <c r="G638" i="13"/>
  <c r="D814" i="13"/>
  <c r="G813" i="13"/>
  <c r="D479" i="20"/>
  <c r="E467" i="13"/>
  <c r="F467" i="13" s="1"/>
  <c r="D468" i="13" s="1"/>
  <c r="B153" i="2"/>
  <c r="B154" i="2" s="1"/>
  <c r="E724" i="13"/>
  <c r="F724" i="13" s="1"/>
  <c r="D725" i="13" s="1"/>
  <c r="E292" i="13"/>
  <c r="F292" i="13" s="1"/>
  <c r="D293" i="13" s="1"/>
  <c r="E380" i="13"/>
  <c r="F380" i="13" s="1"/>
  <c r="D381" i="13" s="1"/>
  <c r="G291" i="13"/>
  <c r="G379" i="13"/>
  <c r="G466" i="13"/>
  <c r="E745" i="20"/>
  <c r="F745" i="20" s="1"/>
  <c r="D746" i="20" s="1"/>
  <c r="E836" i="20"/>
  <c r="F836" i="20" s="1"/>
  <c r="A81" i="34"/>
  <c r="B85" i="34"/>
  <c r="E300" i="20"/>
  <c r="F300" i="20" s="1"/>
  <c r="D301" i="20" s="1"/>
  <c r="E391" i="20"/>
  <c r="F391" i="20" s="1"/>
  <c r="D392" i="20" s="1"/>
  <c r="E656" i="20"/>
  <c r="F656" i="20" s="1"/>
  <c r="D566" i="20" l="1"/>
  <c r="E566" i="20" s="1"/>
  <c r="F566" i="20" s="1"/>
  <c r="D567" i="20" s="1"/>
  <c r="D554" i="13"/>
  <c r="G553" i="13"/>
  <c r="G292" i="13"/>
  <c r="D657" i="20"/>
  <c r="D212" i="20"/>
  <c r="D837" i="20"/>
  <c r="E746" i="20"/>
  <c r="F746" i="20" s="1"/>
  <c r="E381" i="13"/>
  <c r="F381" i="13" s="1"/>
  <c r="E725" i="13"/>
  <c r="F725" i="13" s="1"/>
  <c r="D726" i="13" s="1"/>
  <c r="E468" i="13"/>
  <c r="F468" i="13" s="1"/>
  <c r="D469" i="13" s="1"/>
  <c r="E121" i="20"/>
  <c r="F121" i="20" s="1"/>
  <c r="A84" i="34"/>
  <c r="A85" i="34" s="1"/>
  <c r="A86" i="34" s="1"/>
  <c r="A87" i="34" s="1"/>
  <c r="A96" i="34" s="1"/>
  <c r="B86" i="34"/>
  <c r="E293" i="13"/>
  <c r="F293" i="13" s="1"/>
  <c r="D294" i="13" s="1"/>
  <c r="E814" i="13"/>
  <c r="F814" i="13" s="1"/>
  <c r="D815" i="13" s="1"/>
  <c r="E206" i="13"/>
  <c r="F206" i="13" s="1"/>
  <c r="D207" i="13" s="1"/>
  <c r="E119" i="13"/>
  <c r="F119" i="13" s="1"/>
  <c r="D120" i="13" s="1"/>
  <c r="E301" i="20"/>
  <c r="F301" i="20" s="1"/>
  <c r="G380" i="13"/>
  <c r="E392" i="20"/>
  <c r="F392" i="20" s="1"/>
  <c r="D393" i="20" s="1"/>
  <c r="G467" i="13"/>
  <c r="G724" i="13"/>
  <c r="C59" i="13"/>
  <c r="C76" i="13"/>
  <c r="B155" i="2"/>
  <c r="B156" i="2" s="1"/>
  <c r="B157" i="2" s="1"/>
  <c r="C76" i="20"/>
  <c r="C59" i="20"/>
  <c r="E31" i="2"/>
  <c r="E479" i="20"/>
  <c r="F479" i="20" s="1"/>
  <c r="E639" i="13"/>
  <c r="F639" i="13" s="1"/>
  <c r="D640" i="13" s="1"/>
  <c r="E929" i="20"/>
  <c r="F929" i="20" s="1"/>
  <c r="D930" i="20" s="1"/>
  <c r="E902" i="13"/>
  <c r="F902" i="13" s="1"/>
  <c r="D747" i="20" l="1"/>
  <c r="E747" i="20" s="1"/>
  <c r="F747" i="20" s="1"/>
  <c r="D748" i="20" s="1"/>
  <c r="E554" i="13"/>
  <c r="F554" i="13" s="1"/>
  <c r="D480" i="20"/>
  <c r="E480" i="20" s="1"/>
  <c r="F480" i="20" s="1"/>
  <c r="D122" i="20"/>
  <c r="E122" i="20" s="1"/>
  <c r="F122" i="20" s="1"/>
  <c r="G206" i="13"/>
  <c r="D903" i="13"/>
  <c r="G902" i="13"/>
  <c r="D302" i="20"/>
  <c r="D382" i="13"/>
  <c r="G381" i="13"/>
  <c r="E930" i="20"/>
  <c r="F930" i="20" s="1"/>
  <c r="D931" i="20" s="1"/>
  <c r="E815" i="13"/>
  <c r="F815" i="13" s="1"/>
  <c r="E469" i="13"/>
  <c r="F469" i="13" s="1"/>
  <c r="D470" i="13" s="1"/>
  <c r="E212" i="20"/>
  <c r="F212" i="20" s="1"/>
  <c r="G639" i="13"/>
  <c r="E157" i="2"/>
  <c r="E207" i="13"/>
  <c r="F207" i="13" s="1"/>
  <c r="D208" i="13" s="1"/>
  <c r="G814" i="13"/>
  <c r="A97" i="34"/>
  <c r="B183" i="34"/>
  <c r="G468" i="13"/>
  <c r="E837" i="20"/>
  <c r="F837" i="20" s="1"/>
  <c r="E120" i="13"/>
  <c r="F120" i="13" s="1"/>
  <c r="E294" i="13"/>
  <c r="F294" i="13" s="1"/>
  <c r="E726" i="13"/>
  <c r="F726" i="13" s="1"/>
  <c r="E640" i="13"/>
  <c r="F640" i="13" s="1"/>
  <c r="D641" i="13" s="1"/>
  <c r="B159" i="2"/>
  <c r="B160" i="2" s="1"/>
  <c r="B161" i="2" s="1"/>
  <c r="E393" i="20"/>
  <c r="F393" i="20" s="1"/>
  <c r="D394" i="20" s="1"/>
  <c r="E567" i="20"/>
  <c r="F567" i="20" s="1"/>
  <c r="D568" i="20" s="1"/>
  <c r="G119" i="13"/>
  <c r="G293" i="13"/>
  <c r="G725" i="13"/>
  <c r="E657" i="20"/>
  <c r="F657" i="20" s="1"/>
  <c r="D481" i="20" l="1"/>
  <c r="E481" i="20" s="1"/>
  <c r="F481" i="20" s="1"/>
  <c r="D482" i="20" s="1"/>
  <c r="D555" i="13"/>
  <c r="G554" i="13"/>
  <c r="G640" i="13"/>
  <c r="D121" i="13"/>
  <c r="G120" i="13"/>
  <c r="D213" i="20"/>
  <c r="D658" i="20"/>
  <c r="D123" i="20"/>
  <c r="D727" i="13"/>
  <c r="G726" i="13"/>
  <c r="D838" i="20"/>
  <c r="D295" i="13"/>
  <c r="G294" i="13"/>
  <c r="D816" i="13"/>
  <c r="G815" i="13"/>
  <c r="E394" i="20"/>
  <c r="F394" i="20" s="1"/>
  <c r="E208" i="13"/>
  <c r="F208" i="13" s="1"/>
  <c r="D209" i="13" s="1"/>
  <c r="E470" i="13"/>
  <c r="F470" i="13" s="1"/>
  <c r="E641" i="13"/>
  <c r="F641" i="13" s="1"/>
  <c r="D642" i="13" s="1"/>
  <c r="A98" i="34"/>
  <c r="B184" i="34"/>
  <c r="G207" i="13"/>
  <c r="E931" i="20"/>
  <c r="F931" i="20" s="1"/>
  <c r="E302" i="20"/>
  <c r="F302" i="20" s="1"/>
  <c r="D303" i="20" s="1"/>
  <c r="E382" i="13"/>
  <c r="F382" i="13" s="1"/>
  <c r="D383" i="13" s="1"/>
  <c r="E568" i="20"/>
  <c r="F568" i="20" s="1"/>
  <c r="E748" i="20"/>
  <c r="F748" i="20" s="1"/>
  <c r="D749" i="20" s="1"/>
  <c r="B162" i="2"/>
  <c r="B163" i="2" s="1"/>
  <c r="B164" i="2" s="1"/>
  <c r="B165" i="2" s="1"/>
  <c r="B166" i="2" s="1"/>
  <c r="E166" i="2"/>
  <c r="G469" i="13"/>
  <c r="E903" i="13"/>
  <c r="F903" i="13" s="1"/>
  <c r="G382" i="13" l="1"/>
  <c r="E555" i="13"/>
  <c r="F555" i="13" s="1"/>
  <c r="D556" i="13" s="1"/>
  <c r="E556" i="13" s="1"/>
  <c r="F556" i="13" s="1"/>
  <c r="D557" i="13" s="1"/>
  <c r="D904" i="13"/>
  <c r="E904" i="13" s="1"/>
  <c r="F904" i="13" s="1"/>
  <c r="G903" i="13"/>
  <c r="G208" i="13"/>
  <c r="D569" i="20"/>
  <c r="D395" i="20"/>
  <c r="D932" i="20"/>
  <c r="D471" i="13"/>
  <c r="G470" i="13"/>
  <c r="E749" i="20"/>
  <c r="F749" i="20" s="1"/>
  <c r="E727" i="13"/>
  <c r="F727" i="13" s="1"/>
  <c r="D728" i="13" s="1"/>
  <c r="E816" i="13"/>
  <c r="F816" i="13" s="1"/>
  <c r="E213" i="20"/>
  <c r="F213" i="20" s="1"/>
  <c r="D214" i="20" s="1"/>
  <c r="E383" i="13"/>
  <c r="F383" i="13" s="1"/>
  <c r="E303" i="20"/>
  <c r="F303" i="20" s="1"/>
  <c r="D304" i="20" s="1"/>
  <c r="A99" i="34"/>
  <c r="B185" i="34"/>
  <c r="E209" i="13"/>
  <c r="F209" i="13" s="1"/>
  <c r="E838" i="20"/>
  <c r="F838" i="20" s="1"/>
  <c r="D839" i="20" s="1"/>
  <c r="E658" i="20"/>
  <c r="F658" i="20" s="1"/>
  <c r="D659" i="20" s="1"/>
  <c r="E482" i="20"/>
  <c r="F482" i="20" s="1"/>
  <c r="E642" i="13"/>
  <c r="F642" i="13" s="1"/>
  <c r="D643" i="13" s="1"/>
  <c r="B168" i="2"/>
  <c r="B169" i="2" s="1"/>
  <c r="G641" i="13"/>
  <c r="E295" i="13"/>
  <c r="F295" i="13" s="1"/>
  <c r="E123" i="20"/>
  <c r="F123" i="20" s="1"/>
  <c r="E121" i="13"/>
  <c r="F121" i="13" s="1"/>
  <c r="D122" i="13" s="1"/>
  <c r="G555" i="13" l="1"/>
  <c r="D210" i="13"/>
  <c r="E210" i="13" s="1"/>
  <c r="F210" i="13" s="1"/>
  <c r="G209" i="13"/>
  <c r="G556" i="13"/>
  <c r="D124" i="20"/>
  <c r="E124" i="20" s="1"/>
  <c r="F124" i="20" s="1"/>
  <c r="G727" i="13"/>
  <c r="D384" i="13"/>
  <c r="G383" i="13"/>
  <c r="D817" i="13"/>
  <c r="G816" i="13"/>
  <c r="D750" i="20"/>
  <c r="D296" i="13"/>
  <c r="G295" i="13"/>
  <c r="D483" i="20"/>
  <c r="D905" i="13"/>
  <c r="G904" i="13"/>
  <c r="E304" i="20"/>
  <c r="F304" i="20" s="1"/>
  <c r="D305" i="20" s="1"/>
  <c r="E395" i="20"/>
  <c r="F395" i="20" s="1"/>
  <c r="D396" i="20" s="1"/>
  <c r="E122" i="13"/>
  <c r="F122" i="13" s="1"/>
  <c r="D123" i="13" s="1"/>
  <c r="D173" i="2"/>
  <c r="B170" i="2"/>
  <c r="E839" i="20"/>
  <c r="F839" i="20" s="1"/>
  <c r="B186" i="34"/>
  <c r="A100" i="34"/>
  <c r="A101" i="34" s="1"/>
  <c r="E214" i="20"/>
  <c r="F214" i="20" s="1"/>
  <c r="E557" i="13"/>
  <c r="F557" i="13" s="1"/>
  <c r="E643" i="13"/>
  <c r="F643" i="13" s="1"/>
  <c r="E659" i="20"/>
  <c r="F659" i="20" s="1"/>
  <c r="D660" i="20" s="1"/>
  <c r="E471" i="13"/>
  <c r="F471" i="13" s="1"/>
  <c r="G121" i="13"/>
  <c r="E728" i="13"/>
  <c r="F728" i="13" s="1"/>
  <c r="G642" i="13"/>
  <c r="E932" i="20"/>
  <c r="F932" i="20" s="1"/>
  <c r="D933" i="20" s="1"/>
  <c r="E569" i="20"/>
  <c r="F569" i="20" s="1"/>
  <c r="D570" i="20" l="1"/>
  <c r="E570" i="20" s="1"/>
  <c r="F570" i="20" s="1"/>
  <c r="D571" i="20" s="1"/>
  <c r="D729" i="13"/>
  <c r="E729" i="13" s="1"/>
  <c r="F729" i="13" s="1"/>
  <c r="D730" i="13" s="1"/>
  <c r="G728" i="13"/>
  <c r="D215" i="20"/>
  <c r="E215" i="20" s="1"/>
  <c r="G122" i="13"/>
  <c r="D125" i="20"/>
  <c r="D644" i="13"/>
  <c r="G643" i="13"/>
  <c r="D211" i="13"/>
  <c r="G210" i="13"/>
  <c r="D472" i="13"/>
  <c r="G471" i="13"/>
  <c r="D558" i="13"/>
  <c r="G557" i="13"/>
  <c r="D840" i="20"/>
  <c r="E396" i="20"/>
  <c r="F396" i="20" s="1"/>
  <c r="E933" i="20"/>
  <c r="F933" i="20" s="1"/>
  <c r="E123" i="13"/>
  <c r="F123" i="13" s="1"/>
  <c r="E817" i="13"/>
  <c r="F817" i="13" s="1"/>
  <c r="D818" i="13" s="1"/>
  <c r="E660" i="20"/>
  <c r="F660" i="20" s="1"/>
  <c r="D661" i="20" s="1"/>
  <c r="E483" i="20"/>
  <c r="F483" i="20" s="1"/>
  <c r="D484" i="20" s="1"/>
  <c r="E305" i="20"/>
  <c r="F305" i="20" s="1"/>
  <c r="E296" i="13"/>
  <c r="F296" i="13" s="1"/>
  <c r="B150" i="34"/>
  <c r="A103" i="34"/>
  <c r="C35" i="13"/>
  <c r="C35" i="20"/>
  <c r="B171" i="2"/>
  <c r="B172" i="2" s="1"/>
  <c r="B173" i="2" s="1"/>
  <c r="E905" i="13"/>
  <c r="F905" i="13" s="1"/>
  <c r="E750" i="20"/>
  <c r="F750" i="20" s="1"/>
  <c r="D751" i="20" s="1"/>
  <c r="E384" i="13"/>
  <c r="F384" i="13" s="1"/>
  <c r="D385" i="13" s="1"/>
  <c r="D906" i="13" l="1"/>
  <c r="E906" i="13" s="1"/>
  <c r="F906" i="13" s="1"/>
  <c r="D907" i="13" s="1"/>
  <c r="G905" i="13"/>
  <c r="D297" i="13"/>
  <c r="E297" i="13" s="1"/>
  <c r="F297" i="13" s="1"/>
  <c r="D298" i="13" s="1"/>
  <c r="G296" i="13"/>
  <c r="F215" i="20"/>
  <c r="D216" i="20" s="1"/>
  <c r="E216" i="20" s="1"/>
  <c r="F216" i="20" s="1"/>
  <c r="D397" i="20"/>
  <c r="D124" i="13"/>
  <c r="G123" i="13"/>
  <c r="D934" i="20"/>
  <c r="D306" i="20"/>
  <c r="E385" i="13"/>
  <c r="F385" i="13" s="1"/>
  <c r="D386" i="13" s="1"/>
  <c r="E751" i="20"/>
  <c r="F751" i="20" s="1"/>
  <c r="E818" i="13"/>
  <c r="F818" i="13" s="1"/>
  <c r="D819" i="13" s="1"/>
  <c r="E840" i="20"/>
  <c r="F840" i="20" s="1"/>
  <c r="E644" i="13"/>
  <c r="F644" i="13" s="1"/>
  <c r="D645" i="13" s="1"/>
  <c r="G384" i="13"/>
  <c r="B174" i="2"/>
  <c r="E730" i="13"/>
  <c r="F730" i="13" s="1"/>
  <c r="D731" i="13" s="1"/>
  <c r="G817" i="13"/>
  <c r="E571" i="20"/>
  <c r="F571" i="20" s="1"/>
  <c r="E558" i="13"/>
  <c r="F558" i="13" s="1"/>
  <c r="D559" i="13" s="1"/>
  <c r="E211" i="13"/>
  <c r="F211" i="13" s="1"/>
  <c r="E484" i="20"/>
  <c r="F484" i="20" s="1"/>
  <c r="E661" i="20"/>
  <c r="F661" i="20" s="1"/>
  <c r="E472" i="13"/>
  <c r="F472" i="13" s="1"/>
  <c r="A106" i="34"/>
  <c r="A107" i="34" s="1"/>
  <c r="A108" i="34" s="1"/>
  <c r="A109" i="34" s="1"/>
  <c r="A110" i="34" s="1"/>
  <c r="A111" i="34" s="1"/>
  <c r="A112" i="34" s="1"/>
  <c r="B100" i="34"/>
  <c r="G729" i="13"/>
  <c r="E125" i="20"/>
  <c r="F125" i="20" s="1"/>
  <c r="D126" i="20" s="1"/>
  <c r="D841" i="20" l="1"/>
  <c r="E841" i="20" s="1"/>
  <c r="F841" i="20" s="1"/>
  <c r="G558" i="13"/>
  <c r="G730" i="13"/>
  <c r="D212" i="13"/>
  <c r="G211" i="13"/>
  <c r="D217" i="20"/>
  <c r="D662" i="20"/>
  <c r="D752" i="20"/>
  <c r="D572" i="20"/>
  <c r="D473" i="13"/>
  <c r="G472" i="13"/>
  <c r="D485" i="20"/>
  <c r="E907" i="13"/>
  <c r="F907" i="13" s="1"/>
  <c r="E819" i="13"/>
  <c r="F819" i="13" s="1"/>
  <c r="D820" i="13" s="1"/>
  <c r="E386" i="13"/>
  <c r="F386" i="13" s="1"/>
  <c r="E124" i="13"/>
  <c r="F124" i="13" s="1"/>
  <c r="D125" i="13" s="1"/>
  <c r="G906" i="13"/>
  <c r="E298" i="13"/>
  <c r="F298" i="13" s="1"/>
  <c r="D299" i="13" s="1"/>
  <c r="D339" i="2"/>
  <c r="B175" i="2"/>
  <c r="E645" i="13"/>
  <c r="F645" i="13" s="1"/>
  <c r="E126" i="20"/>
  <c r="F126" i="20" s="1"/>
  <c r="D127" i="20" s="1"/>
  <c r="E559" i="13"/>
  <c r="F559" i="13" s="1"/>
  <c r="E731" i="13"/>
  <c r="F731" i="13" s="1"/>
  <c r="E178" i="2"/>
  <c r="G818" i="13"/>
  <c r="E934" i="20"/>
  <c r="F934" i="20" s="1"/>
  <c r="A115" i="34"/>
  <c r="B166" i="34"/>
  <c r="G297" i="13"/>
  <c r="G644" i="13"/>
  <c r="G385" i="13"/>
  <c r="E306" i="20"/>
  <c r="F306" i="20" s="1"/>
  <c r="D307" i="20" s="1"/>
  <c r="E397" i="20"/>
  <c r="F397" i="20" s="1"/>
  <c r="D398" i="20" l="1"/>
  <c r="E398" i="20" s="1"/>
  <c r="F398" i="20" s="1"/>
  <c r="D646" i="13"/>
  <c r="E646" i="13" s="1"/>
  <c r="F646" i="13" s="1"/>
  <c r="G645" i="13"/>
  <c r="D842" i="20"/>
  <c r="E842" i="20" s="1"/>
  <c r="F842" i="20" s="1"/>
  <c r="D908" i="13"/>
  <c r="E908" i="13" s="1"/>
  <c r="F908" i="13" s="1"/>
  <c r="G907" i="13"/>
  <c r="D560" i="13"/>
  <c r="G559" i="13"/>
  <c r="D732" i="13"/>
  <c r="G731" i="13"/>
  <c r="D387" i="13"/>
  <c r="G386" i="13"/>
  <c r="D935" i="20"/>
  <c r="E307" i="20"/>
  <c r="F307" i="20" s="1"/>
  <c r="E299" i="13"/>
  <c r="F299" i="13" s="1"/>
  <c r="D300" i="13" s="1"/>
  <c r="E572" i="20"/>
  <c r="F572" i="20" s="1"/>
  <c r="E820" i="13"/>
  <c r="F820" i="13" s="1"/>
  <c r="D821" i="13" s="1"/>
  <c r="E473" i="13"/>
  <c r="F473" i="13" s="1"/>
  <c r="E127" i="20"/>
  <c r="F127" i="20" s="1"/>
  <c r="D128" i="20" s="1"/>
  <c r="G819" i="13"/>
  <c r="E662" i="20"/>
  <c r="F662" i="20" s="1"/>
  <c r="E125" i="13"/>
  <c r="F125" i="13" s="1"/>
  <c r="D126" i="13" s="1"/>
  <c r="E217" i="20"/>
  <c r="F217" i="20" s="1"/>
  <c r="D218" i="20" s="1"/>
  <c r="A116" i="34"/>
  <c r="B176" i="2"/>
  <c r="E179" i="2"/>
  <c r="G298" i="13"/>
  <c r="G124" i="13"/>
  <c r="E485" i="20"/>
  <c r="F485" i="20" s="1"/>
  <c r="E752" i="20"/>
  <c r="F752" i="20" s="1"/>
  <c r="E212" i="13"/>
  <c r="F212" i="13" s="1"/>
  <c r="D213" i="13" s="1"/>
  <c r="D573" i="20" l="1"/>
  <c r="D308" i="20"/>
  <c r="E308" i="20" s="1"/>
  <c r="F308" i="20" s="1"/>
  <c r="D474" i="13"/>
  <c r="E474" i="13" s="1"/>
  <c r="F474" i="13" s="1"/>
  <c r="D475" i="13" s="1"/>
  <c r="G473" i="13"/>
  <c r="D647" i="13"/>
  <c r="E647" i="13" s="1"/>
  <c r="G646" i="13"/>
  <c r="D753" i="20"/>
  <c r="E753" i="20" s="1"/>
  <c r="F753" i="20" s="1"/>
  <c r="D754" i="20" s="1"/>
  <c r="D486" i="20"/>
  <c r="E486" i="20" s="1"/>
  <c r="F486" i="20" s="1"/>
  <c r="D843" i="20"/>
  <c r="E843" i="20" s="1"/>
  <c r="F843" i="20" s="1"/>
  <c r="D844" i="20" s="1"/>
  <c r="D909" i="13"/>
  <c r="E909" i="13" s="1"/>
  <c r="F909" i="13" s="1"/>
  <c r="G908" i="13"/>
  <c r="G125" i="13"/>
  <c r="D663" i="20"/>
  <c r="D399" i="20"/>
  <c r="E213" i="13"/>
  <c r="F213" i="13" s="1"/>
  <c r="E128" i="20"/>
  <c r="F128" i="20" s="1"/>
  <c r="E300" i="13"/>
  <c r="F300" i="13" s="1"/>
  <c r="D301" i="13" s="1"/>
  <c r="E935" i="20"/>
  <c r="F935" i="20" s="1"/>
  <c r="D936" i="20" s="1"/>
  <c r="E126" i="13"/>
  <c r="F126" i="13" s="1"/>
  <c r="D127" i="13" s="1"/>
  <c r="G820" i="13"/>
  <c r="E573" i="20"/>
  <c r="F573" i="20" s="1"/>
  <c r="E821" i="13"/>
  <c r="F821" i="13" s="1"/>
  <c r="G212" i="13"/>
  <c r="E218" i="20"/>
  <c r="F218" i="20" s="1"/>
  <c r="D219" i="20" s="1"/>
  <c r="E732" i="13"/>
  <c r="F732" i="13" s="1"/>
  <c r="D733" i="13" s="1"/>
  <c r="B177" i="2"/>
  <c r="E180" i="2"/>
  <c r="A117" i="34"/>
  <c r="A118" i="34" s="1"/>
  <c r="G299" i="13"/>
  <c r="E387" i="13"/>
  <c r="F387" i="13" s="1"/>
  <c r="E560" i="13"/>
  <c r="F560" i="13" s="1"/>
  <c r="D910" i="13" l="1"/>
  <c r="E910" i="13" s="1"/>
  <c r="F910" i="13" s="1"/>
  <c r="G909" i="13"/>
  <c r="F647" i="13"/>
  <c r="D648" i="13" s="1"/>
  <c r="E648" i="13" s="1"/>
  <c r="F648" i="13" s="1"/>
  <c r="D129" i="20"/>
  <c r="E129" i="20" s="1"/>
  <c r="F129" i="20" s="1"/>
  <c r="D822" i="13"/>
  <c r="E822" i="13" s="1"/>
  <c r="F822" i="13" s="1"/>
  <c r="G821" i="13"/>
  <c r="D214" i="13"/>
  <c r="E214" i="13" s="1"/>
  <c r="F214" i="13" s="1"/>
  <c r="G213" i="13"/>
  <c r="D388" i="13"/>
  <c r="E388" i="13" s="1"/>
  <c r="F388" i="13" s="1"/>
  <c r="G387" i="13"/>
  <c r="D561" i="13"/>
  <c r="G560" i="13"/>
  <c r="D309" i="20"/>
  <c r="D487" i="20"/>
  <c r="D574" i="20"/>
  <c r="E733" i="13"/>
  <c r="F733" i="13" s="1"/>
  <c r="E844" i="20"/>
  <c r="F844" i="20" s="1"/>
  <c r="D845" i="20" s="1"/>
  <c r="E219" i="20"/>
  <c r="F219" i="20" s="1"/>
  <c r="D220" i="20" s="1"/>
  <c r="E127" i="13"/>
  <c r="F127" i="13" s="1"/>
  <c r="E754" i="20"/>
  <c r="F754" i="20" s="1"/>
  <c r="E936" i="20"/>
  <c r="F936" i="20" s="1"/>
  <c r="D937" i="20" s="1"/>
  <c r="E301" i="13"/>
  <c r="F301" i="13" s="1"/>
  <c r="D302" i="13" s="1"/>
  <c r="E399" i="20"/>
  <c r="F399" i="20" s="1"/>
  <c r="B178" i="2"/>
  <c r="B179" i="2" s="1"/>
  <c r="B180" i="2" s="1"/>
  <c r="B181" i="2" s="1"/>
  <c r="E475" i="13"/>
  <c r="F475" i="13" s="1"/>
  <c r="D476" i="13" s="1"/>
  <c r="G300" i="13"/>
  <c r="A119" i="34"/>
  <c r="B119" i="34"/>
  <c r="G474" i="13"/>
  <c r="B118" i="34"/>
  <c r="G732" i="13"/>
  <c r="G126" i="13"/>
  <c r="E663" i="20"/>
  <c r="F663" i="20" s="1"/>
  <c r="G647" i="13" l="1"/>
  <c r="G301" i="13"/>
  <c r="D664" i="20"/>
  <c r="E664" i="20" s="1"/>
  <c r="F664" i="20" s="1"/>
  <c r="D649" i="13"/>
  <c r="E649" i="13" s="1"/>
  <c r="F649" i="13" s="1"/>
  <c r="G648" i="13"/>
  <c r="D911" i="13"/>
  <c r="G910" i="13"/>
  <c r="D128" i="13"/>
  <c r="G127" i="13"/>
  <c r="D823" i="13"/>
  <c r="G822" i="13"/>
  <c r="D215" i="13"/>
  <c r="G214" i="13"/>
  <c r="D130" i="20"/>
  <c r="D389" i="13"/>
  <c r="G388" i="13"/>
  <c r="D734" i="13"/>
  <c r="G733" i="13"/>
  <c r="D400" i="20"/>
  <c r="D755" i="20"/>
  <c r="E476" i="13"/>
  <c r="F476" i="13" s="1"/>
  <c r="D477" i="13" s="1"/>
  <c r="E937" i="20"/>
  <c r="F937" i="20" s="1"/>
  <c r="D938" i="20" s="1"/>
  <c r="E220" i="20"/>
  <c r="F220" i="20" s="1"/>
  <c r="E845" i="20"/>
  <c r="F845" i="20" s="1"/>
  <c r="E487" i="20"/>
  <c r="F487" i="20" s="1"/>
  <c r="D488" i="20" s="1"/>
  <c r="E302" i="13"/>
  <c r="F302" i="13" s="1"/>
  <c r="E574" i="20"/>
  <c r="F574" i="20" s="1"/>
  <c r="E561" i="13"/>
  <c r="F561" i="13" s="1"/>
  <c r="C50" i="13"/>
  <c r="C50" i="20"/>
  <c r="B183" i="2"/>
  <c r="E34" i="2"/>
  <c r="A121" i="34"/>
  <c r="G475" i="13"/>
  <c r="E181" i="2"/>
  <c r="E309" i="20"/>
  <c r="F309" i="20" s="1"/>
  <c r="G476" i="13" l="1"/>
  <c r="D665" i="20"/>
  <c r="E665" i="20" s="1"/>
  <c r="F665" i="20" s="1"/>
  <c r="D650" i="13"/>
  <c r="E650" i="13" s="1"/>
  <c r="F650" i="13" s="1"/>
  <c r="D651" i="13" s="1"/>
  <c r="G649" i="13"/>
  <c r="D562" i="13"/>
  <c r="G561" i="13"/>
  <c r="D310" i="20"/>
  <c r="D303" i="13"/>
  <c r="G302" i="13"/>
  <c r="D846" i="20"/>
  <c r="D221" i="20"/>
  <c r="D575" i="20"/>
  <c r="E215" i="13"/>
  <c r="F215" i="13" s="1"/>
  <c r="D216" i="13" s="1"/>
  <c r="A122" i="34"/>
  <c r="C49" i="13"/>
  <c r="C49" i="20"/>
  <c r="B185" i="2"/>
  <c r="E177" i="2"/>
  <c r="E400" i="20"/>
  <c r="F400" i="20" s="1"/>
  <c r="E389" i="13"/>
  <c r="F389" i="13" s="1"/>
  <c r="E488" i="20"/>
  <c r="F488" i="20" s="1"/>
  <c r="E755" i="20"/>
  <c r="F755" i="20" s="1"/>
  <c r="D756" i="20" s="1"/>
  <c r="E128" i="13"/>
  <c r="F128" i="13" s="1"/>
  <c r="E938" i="20"/>
  <c r="F938" i="20" s="1"/>
  <c r="E734" i="13"/>
  <c r="F734" i="13" s="1"/>
  <c r="E477" i="13"/>
  <c r="F477" i="13" s="1"/>
  <c r="D478" i="13" s="1"/>
  <c r="E130" i="20"/>
  <c r="F130" i="20" s="1"/>
  <c r="E823" i="13"/>
  <c r="F823" i="13" s="1"/>
  <c r="E911" i="13"/>
  <c r="F911" i="13" s="1"/>
  <c r="D131" i="20" l="1"/>
  <c r="E131" i="20" s="1"/>
  <c r="F131" i="20" s="1"/>
  <c r="D912" i="13"/>
  <c r="E912" i="13" s="1"/>
  <c r="F912" i="13" s="1"/>
  <c r="G911" i="13"/>
  <c r="D129" i="13"/>
  <c r="E129" i="13" s="1"/>
  <c r="F129" i="13" s="1"/>
  <c r="G128" i="13"/>
  <c r="D824" i="13"/>
  <c r="E824" i="13" s="1"/>
  <c r="F824" i="13" s="1"/>
  <c r="G823" i="13"/>
  <c r="D939" i="20"/>
  <c r="D489" i="20"/>
  <c r="D666" i="20"/>
  <c r="D735" i="13"/>
  <c r="G734" i="13"/>
  <c r="D390" i="13"/>
  <c r="G389" i="13"/>
  <c r="D401" i="20"/>
  <c r="B187" i="2"/>
  <c r="D303" i="2"/>
  <c r="E310" i="20"/>
  <c r="F310" i="20" s="1"/>
  <c r="E478" i="13"/>
  <c r="F478" i="13" s="1"/>
  <c r="G650" i="13"/>
  <c r="E846" i="20"/>
  <c r="F846" i="20" s="1"/>
  <c r="E216" i="13"/>
  <c r="F216" i="13" s="1"/>
  <c r="D217" i="13" s="1"/>
  <c r="E221" i="20"/>
  <c r="F221" i="20" s="1"/>
  <c r="E651" i="13"/>
  <c r="F651" i="13" s="1"/>
  <c r="E756" i="20"/>
  <c r="F756" i="20" s="1"/>
  <c r="E575" i="20"/>
  <c r="F575" i="20" s="1"/>
  <c r="E303" i="13"/>
  <c r="F303" i="13" s="1"/>
  <c r="D304" i="13" s="1"/>
  <c r="G477" i="13"/>
  <c r="A123" i="34"/>
  <c r="A124" i="34" s="1"/>
  <c r="B124" i="34"/>
  <c r="G215" i="13"/>
  <c r="E562" i="13"/>
  <c r="F562" i="13" s="1"/>
  <c r="D847" i="20" l="1"/>
  <c r="D222" i="20"/>
  <c r="E222" i="20" s="1"/>
  <c r="F222" i="20" s="1"/>
  <c r="G216" i="13"/>
  <c r="D757" i="20"/>
  <c r="D479" i="13"/>
  <c r="G478" i="13"/>
  <c r="D913" i="13"/>
  <c r="G912" i="13"/>
  <c r="D132" i="20"/>
  <c r="D563" i="13"/>
  <c r="G562" i="13"/>
  <c r="D130" i="13"/>
  <c r="G129" i="13"/>
  <c r="D652" i="13"/>
  <c r="G651" i="13"/>
  <c r="D311" i="20"/>
  <c r="D825" i="13"/>
  <c r="G824" i="13"/>
  <c r="D576" i="20"/>
  <c r="E390" i="13"/>
  <c r="F390" i="13" s="1"/>
  <c r="D391" i="13" s="1"/>
  <c r="E489" i="20"/>
  <c r="F489" i="20" s="1"/>
  <c r="E304" i="13"/>
  <c r="F304" i="13" s="1"/>
  <c r="E217" i="13"/>
  <c r="F217" i="13" s="1"/>
  <c r="E666" i="20"/>
  <c r="F666" i="20" s="1"/>
  <c r="E847" i="20"/>
  <c r="F847" i="20" s="1"/>
  <c r="D848" i="20" s="1"/>
  <c r="E401" i="20"/>
  <c r="F401" i="20" s="1"/>
  <c r="D402" i="20" s="1"/>
  <c r="E735" i="13"/>
  <c r="F735" i="13" s="1"/>
  <c r="A125" i="34"/>
  <c r="B125" i="34"/>
  <c r="G303" i="13"/>
  <c r="D189" i="2"/>
  <c r="B189" i="2"/>
  <c r="E939" i="20"/>
  <c r="F939" i="20" s="1"/>
  <c r="D667" i="20" l="1"/>
  <c r="E667" i="20" s="1"/>
  <c r="F667" i="20" s="1"/>
  <c r="D736" i="13"/>
  <c r="E736" i="13" s="1"/>
  <c r="F736" i="13" s="1"/>
  <c r="D737" i="13" s="1"/>
  <c r="G735" i="13"/>
  <c r="D490" i="20"/>
  <c r="E490" i="20" s="1"/>
  <c r="F490" i="20" s="1"/>
  <c r="D305" i="13"/>
  <c r="G304" i="13"/>
  <c r="D940" i="20"/>
  <c r="D223" i="20"/>
  <c r="D218" i="13"/>
  <c r="G217" i="13"/>
  <c r="A127" i="34"/>
  <c r="E391" i="13"/>
  <c r="F391" i="13" s="1"/>
  <c r="D392" i="13" s="1"/>
  <c r="E825" i="13"/>
  <c r="F825" i="13" s="1"/>
  <c r="D826" i="13" s="1"/>
  <c r="E479" i="13"/>
  <c r="F479" i="13" s="1"/>
  <c r="D480" i="13" s="1"/>
  <c r="B191" i="2"/>
  <c r="D192" i="2"/>
  <c r="E848" i="20"/>
  <c r="F848" i="20" s="1"/>
  <c r="E576" i="20"/>
  <c r="F576" i="20" s="1"/>
  <c r="E913" i="13"/>
  <c r="F913" i="13" s="1"/>
  <c r="E402" i="20"/>
  <c r="F402" i="20" s="1"/>
  <c r="E132" i="20"/>
  <c r="F132" i="20" s="1"/>
  <c r="G390" i="13"/>
  <c r="E652" i="13"/>
  <c r="F652" i="13" s="1"/>
  <c r="E563" i="13"/>
  <c r="F563" i="13" s="1"/>
  <c r="E311" i="20"/>
  <c r="F311" i="20" s="1"/>
  <c r="E130" i="13"/>
  <c r="F130" i="13" s="1"/>
  <c r="D131" i="13" s="1"/>
  <c r="E757" i="20"/>
  <c r="F757" i="20" s="1"/>
  <c r="D577" i="20" l="1"/>
  <c r="D564" i="13"/>
  <c r="E564" i="13" s="1"/>
  <c r="F564" i="13" s="1"/>
  <c r="D565" i="13" s="1"/>
  <c r="G563" i="13"/>
  <c r="D312" i="20"/>
  <c r="E312" i="20" s="1"/>
  <c r="F312" i="20" s="1"/>
  <c r="D653" i="13"/>
  <c r="E653" i="13" s="1"/>
  <c r="F653" i="13" s="1"/>
  <c r="G652" i="13"/>
  <c r="G736" i="13"/>
  <c r="D668" i="20"/>
  <c r="D849" i="20"/>
  <c r="D758" i="20"/>
  <c r="D403" i="20"/>
  <c r="D133" i="20"/>
  <c r="D491" i="20"/>
  <c r="D914" i="13"/>
  <c r="G913" i="13"/>
  <c r="E480" i="13"/>
  <c r="F480" i="13" s="1"/>
  <c r="D481" i="13" s="1"/>
  <c r="E826" i="13"/>
  <c r="F826" i="13" s="1"/>
  <c r="E392" i="13"/>
  <c r="F392" i="13" s="1"/>
  <c r="E131" i="13"/>
  <c r="F131" i="13" s="1"/>
  <c r="E577" i="20"/>
  <c r="F577" i="20" s="1"/>
  <c r="D578" i="20" s="1"/>
  <c r="G130" i="13"/>
  <c r="E737" i="13"/>
  <c r="F737" i="13" s="1"/>
  <c r="B204" i="2"/>
  <c r="E13" i="2"/>
  <c r="G825" i="13"/>
  <c r="E223" i="20"/>
  <c r="F223" i="20" s="1"/>
  <c r="D224" i="20" s="1"/>
  <c r="A128" i="34"/>
  <c r="E940" i="20"/>
  <c r="F940" i="20" s="1"/>
  <c r="G479" i="13"/>
  <c r="G391" i="13"/>
  <c r="E218" i="13"/>
  <c r="F218" i="13" s="1"/>
  <c r="E305" i="13"/>
  <c r="F305" i="13" s="1"/>
  <c r="D306" i="13" s="1"/>
  <c r="D827" i="13" l="1"/>
  <c r="E827" i="13" s="1"/>
  <c r="F827" i="13" s="1"/>
  <c r="D828" i="13" s="1"/>
  <c r="G826" i="13"/>
  <c r="D393" i="13"/>
  <c r="E393" i="13" s="1"/>
  <c r="F393" i="13" s="1"/>
  <c r="G392" i="13"/>
  <c r="D738" i="13"/>
  <c r="G737" i="13"/>
  <c r="D313" i="20"/>
  <c r="D941" i="20"/>
  <c r="D132" i="13"/>
  <c r="G131" i="13"/>
  <c r="D219" i="13"/>
  <c r="G218" i="13"/>
  <c r="D654" i="13"/>
  <c r="G653" i="13"/>
  <c r="E224" i="20"/>
  <c r="F224" i="20" s="1"/>
  <c r="D225" i="20" s="1"/>
  <c r="E565" i="13"/>
  <c r="F565" i="13" s="1"/>
  <c r="E481" i="13"/>
  <c r="F481" i="13" s="1"/>
  <c r="E849" i="20"/>
  <c r="F849" i="20" s="1"/>
  <c r="D850" i="20" s="1"/>
  <c r="B205" i="2"/>
  <c r="B206" i="2" s="1"/>
  <c r="B207" i="2" s="1"/>
  <c r="E914" i="13"/>
  <c r="F914" i="13" s="1"/>
  <c r="E758" i="20"/>
  <c r="F758" i="20" s="1"/>
  <c r="E738" i="13"/>
  <c r="F738" i="13" s="1"/>
  <c r="G564" i="13"/>
  <c r="E578" i="20"/>
  <c r="F578" i="20" s="1"/>
  <c r="E403" i="20"/>
  <c r="F403" i="20" s="1"/>
  <c r="E491" i="20"/>
  <c r="F491" i="20" s="1"/>
  <c r="E306" i="13"/>
  <c r="F306" i="13" s="1"/>
  <c r="A129" i="34"/>
  <c r="A130" i="34" s="1"/>
  <c r="B130" i="34"/>
  <c r="G480" i="13"/>
  <c r="G305" i="13"/>
  <c r="E133" i="20"/>
  <c r="F133" i="20" s="1"/>
  <c r="E668" i="20"/>
  <c r="F668" i="20" s="1"/>
  <c r="E207" i="2" l="1"/>
  <c r="D394" i="13"/>
  <c r="E394" i="13" s="1"/>
  <c r="F394" i="13" s="1"/>
  <c r="G393" i="13"/>
  <c r="D482" i="13"/>
  <c r="E482" i="13" s="1"/>
  <c r="F482" i="13" s="1"/>
  <c r="G481" i="13"/>
  <c r="D404" i="20"/>
  <c r="D307" i="13"/>
  <c r="G306" i="13"/>
  <c r="D579" i="20"/>
  <c r="D759" i="20"/>
  <c r="D566" i="13"/>
  <c r="G565" i="13"/>
  <c r="D134" i="20"/>
  <c r="D492" i="20"/>
  <c r="D915" i="13"/>
  <c r="G914" i="13"/>
  <c r="D669" i="20"/>
  <c r="D739" i="13"/>
  <c r="G738" i="13"/>
  <c r="E828" i="13"/>
  <c r="F828" i="13" s="1"/>
  <c r="D829" i="13" s="1"/>
  <c r="E850" i="20"/>
  <c r="F850" i="20" s="1"/>
  <c r="E941" i="20"/>
  <c r="F941" i="20" s="1"/>
  <c r="D942" i="20" s="1"/>
  <c r="A131" i="34"/>
  <c r="B131" i="34"/>
  <c r="E654" i="13"/>
  <c r="F654" i="13" s="1"/>
  <c r="E132" i="13"/>
  <c r="F132" i="13" s="1"/>
  <c r="G827" i="13"/>
  <c r="E225" i="20"/>
  <c r="F225" i="20" s="1"/>
  <c r="B209" i="2"/>
  <c r="B211" i="2" s="1"/>
  <c r="B212" i="2" s="1"/>
  <c r="B213" i="2" s="1"/>
  <c r="E63" i="2"/>
  <c r="E209" i="2"/>
  <c r="E219" i="13"/>
  <c r="F219" i="13" s="1"/>
  <c r="D220" i="13" s="1"/>
  <c r="E313" i="20"/>
  <c r="F313" i="20" s="1"/>
  <c r="D851" i="20" l="1"/>
  <c r="E851" i="20" s="1"/>
  <c r="F851" i="20" s="1"/>
  <c r="D852" i="20" s="1"/>
  <c r="D483" i="13"/>
  <c r="G482" i="13"/>
  <c r="D226" i="20"/>
  <c r="D133" i="13"/>
  <c r="G132" i="13"/>
  <c r="D655" i="13"/>
  <c r="G654" i="13"/>
  <c r="D314" i="20"/>
  <c r="D395" i="13"/>
  <c r="G394" i="13"/>
  <c r="E220" i="13"/>
  <c r="F220" i="13" s="1"/>
  <c r="E942" i="20"/>
  <c r="F942" i="20" s="1"/>
  <c r="B214" i="2"/>
  <c r="B215" i="2" s="1"/>
  <c r="B216" i="2" s="1"/>
  <c r="B217" i="2" s="1"/>
  <c r="B219" i="2" s="1"/>
  <c r="B222" i="2" s="1"/>
  <c r="B223" i="2" s="1"/>
  <c r="A133" i="34"/>
  <c r="E669" i="20"/>
  <c r="F669" i="20" s="1"/>
  <c r="D670" i="20" s="1"/>
  <c r="E134" i="20"/>
  <c r="F134" i="20" s="1"/>
  <c r="E579" i="20"/>
  <c r="F579" i="20" s="1"/>
  <c r="D580" i="20" s="1"/>
  <c r="G219" i="13"/>
  <c r="G828" i="13"/>
  <c r="E739" i="13"/>
  <c r="F739" i="13" s="1"/>
  <c r="D740" i="13" s="1"/>
  <c r="E492" i="20"/>
  <c r="F492" i="20" s="1"/>
  <c r="D493" i="20" s="1"/>
  <c r="E759" i="20"/>
  <c r="F759" i="20" s="1"/>
  <c r="E404" i="20"/>
  <c r="F404" i="20" s="1"/>
  <c r="D405" i="20" s="1"/>
  <c r="E915" i="13"/>
  <c r="F915" i="13" s="1"/>
  <c r="D916" i="13" s="1"/>
  <c r="E566" i="13"/>
  <c r="F566" i="13" s="1"/>
  <c r="D567" i="13" s="1"/>
  <c r="E307" i="13"/>
  <c r="F307" i="13" s="1"/>
  <c r="D308" i="13" s="1"/>
  <c r="E829" i="13"/>
  <c r="F829" i="13" s="1"/>
  <c r="D830" i="13" l="1"/>
  <c r="E830" i="13" s="1"/>
  <c r="F830" i="13" s="1"/>
  <c r="G829" i="13"/>
  <c r="D135" i="20"/>
  <c r="E135" i="20" s="1"/>
  <c r="F135" i="20" s="1"/>
  <c r="D221" i="13"/>
  <c r="E221" i="13" s="1"/>
  <c r="F221" i="13" s="1"/>
  <c r="G220" i="13"/>
  <c r="D943" i="20"/>
  <c r="E943" i="20" s="1"/>
  <c r="F943" i="20" s="1"/>
  <c r="G915" i="13"/>
  <c r="D760" i="20"/>
  <c r="A134" i="34"/>
  <c r="E916" i="13"/>
  <c r="F916" i="13" s="1"/>
  <c r="B224" i="2"/>
  <c r="B225" i="2" s="1"/>
  <c r="B226" i="2" s="1"/>
  <c r="E226" i="20"/>
  <c r="F226" i="20" s="1"/>
  <c r="E308" i="13"/>
  <c r="F308" i="13" s="1"/>
  <c r="D309" i="13" s="1"/>
  <c r="E405" i="20"/>
  <c r="F405" i="20" s="1"/>
  <c r="E493" i="20"/>
  <c r="F493" i="20" s="1"/>
  <c r="D494" i="20" s="1"/>
  <c r="E670" i="20"/>
  <c r="F670" i="20" s="1"/>
  <c r="D671" i="20" s="1"/>
  <c r="G739" i="13"/>
  <c r="E852" i="20"/>
  <c r="F852" i="20" s="1"/>
  <c r="E580" i="20"/>
  <c r="F580" i="20" s="1"/>
  <c r="E217" i="2"/>
  <c r="E314" i="20"/>
  <c r="F314" i="20" s="1"/>
  <c r="D315" i="20" s="1"/>
  <c r="E133" i="13"/>
  <c r="F133" i="13" s="1"/>
  <c r="D134" i="13" s="1"/>
  <c r="E567" i="13"/>
  <c r="F567" i="13" s="1"/>
  <c r="D568" i="13" s="1"/>
  <c r="E740" i="13"/>
  <c r="F740" i="13" s="1"/>
  <c r="E655" i="13"/>
  <c r="F655" i="13" s="1"/>
  <c r="G307" i="13"/>
  <c r="G566" i="13"/>
  <c r="E395" i="13"/>
  <c r="F395" i="13" s="1"/>
  <c r="E483" i="13"/>
  <c r="F483" i="13" s="1"/>
  <c r="D484" i="13" s="1"/>
  <c r="G133" i="13" l="1"/>
  <c r="D136" i="20"/>
  <c r="E136" i="20" s="1"/>
  <c r="F136" i="20" s="1"/>
  <c r="D137" i="20" s="1"/>
  <c r="D853" i="20"/>
  <c r="E853" i="20" s="1"/>
  <c r="D831" i="13"/>
  <c r="E831" i="13" s="1"/>
  <c r="F831" i="13" s="1"/>
  <c r="G830" i="13"/>
  <c r="D741" i="13"/>
  <c r="G740" i="13"/>
  <c r="D917" i="13"/>
  <c r="G916" i="13"/>
  <c r="D227" i="20"/>
  <c r="D656" i="13"/>
  <c r="G655" i="13"/>
  <c r="D396" i="13"/>
  <c r="G395" i="13"/>
  <c r="D944" i="20"/>
  <c r="D581" i="20"/>
  <c r="D406" i="20"/>
  <c r="D222" i="13"/>
  <c r="G221" i="13"/>
  <c r="E568" i="13"/>
  <c r="F568" i="13" s="1"/>
  <c r="E494" i="20"/>
  <c r="F494" i="20" s="1"/>
  <c r="D495" i="20" s="1"/>
  <c r="E309" i="13"/>
  <c r="F309" i="13" s="1"/>
  <c r="B227" i="2"/>
  <c r="E315" i="20"/>
  <c r="F315" i="20" s="1"/>
  <c r="D316" i="20" s="1"/>
  <c r="G308" i="13"/>
  <c r="A135" i="34"/>
  <c r="A136" i="34" s="1"/>
  <c r="E484" i="13"/>
  <c r="F484" i="13" s="1"/>
  <c r="D485" i="13" s="1"/>
  <c r="E134" i="13"/>
  <c r="F134" i="13" s="1"/>
  <c r="D135" i="13" s="1"/>
  <c r="G483" i="13"/>
  <c r="E671" i="20"/>
  <c r="F671" i="20" s="1"/>
  <c r="G567" i="13"/>
  <c r="E760" i="20"/>
  <c r="F760" i="20" s="1"/>
  <c r="B136" i="34" l="1"/>
  <c r="F853" i="20"/>
  <c r="D854" i="20" s="1"/>
  <c r="E854" i="20" s="1"/>
  <c r="F854" i="20" s="1"/>
  <c r="D569" i="13"/>
  <c r="E569" i="13" s="1"/>
  <c r="F569" i="13" s="1"/>
  <c r="D570" i="13" s="1"/>
  <c r="G568" i="13"/>
  <c r="G484" i="13"/>
  <c r="D761" i="20"/>
  <c r="D832" i="13"/>
  <c r="G831" i="13"/>
  <c r="D310" i="13"/>
  <c r="G309" i="13"/>
  <c r="D672" i="20"/>
  <c r="E316" i="20"/>
  <c r="F316" i="20" s="1"/>
  <c r="D317" i="20" s="1"/>
  <c r="E495" i="20"/>
  <c r="F495" i="20" s="1"/>
  <c r="E656" i="13"/>
  <c r="F656" i="13" s="1"/>
  <c r="D657" i="13" s="1"/>
  <c r="E485" i="13"/>
  <c r="F485" i="13" s="1"/>
  <c r="E581" i="20"/>
  <c r="F581" i="20" s="1"/>
  <c r="E917" i="13"/>
  <c r="F917" i="13" s="1"/>
  <c r="D918" i="13" s="1"/>
  <c r="G134" i="13"/>
  <c r="A137" i="34"/>
  <c r="B139" i="34"/>
  <c r="B137" i="34"/>
  <c r="E406" i="20"/>
  <c r="F406" i="20" s="1"/>
  <c r="E396" i="13"/>
  <c r="F396" i="13" s="1"/>
  <c r="E135" i="13"/>
  <c r="F135" i="13" s="1"/>
  <c r="E137" i="20"/>
  <c r="F137" i="20" s="1"/>
  <c r="B228" i="2"/>
  <c r="B229" i="2" s="1"/>
  <c r="B230" i="2" s="1"/>
  <c r="D234" i="2"/>
  <c r="E944" i="20"/>
  <c r="F944" i="20" s="1"/>
  <c r="E222" i="13"/>
  <c r="F222" i="13" s="1"/>
  <c r="D223" i="13" s="1"/>
  <c r="E227" i="20"/>
  <c r="F227" i="20" s="1"/>
  <c r="D228" i="20" s="1"/>
  <c r="E741" i="13"/>
  <c r="F741" i="13" s="1"/>
  <c r="D742" i="13" l="1"/>
  <c r="E742" i="13" s="1"/>
  <c r="F742" i="13" s="1"/>
  <c r="G741" i="13"/>
  <c r="D855" i="20"/>
  <c r="E855" i="20" s="1"/>
  <c r="F855" i="20" s="1"/>
  <c r="D407" i="20"/>
  <c r="E407" i="20" s="1"/>
  <c r="F407" i="20" s="1"/>
  <c r="D138" i="20"/>
  <c r="D582" i="20"/>
  <c r="D486" i="13"/>
  <c r="G485" i="13"/>
  <c r="D945" i="20"/>
  <c r="D136" i="13"/>
  <c r="G135" i="13"/>
  <c r="D397" i="13"/>
  <c r="G396" i="13"/>
  <c r="D496" i="20"/>
  <c r="E228" i="20"/>
  <c r="F228" i="20" s="1"/>
  <c r="D229" i="20" s="1"/>
  <c r="E317" i="20"/>
  <c r="F317" i="20" s="1"/>
  <c r="G222" i="13"/>
  <c r="E918" i="13"/>
  <c r="F918" i="13" s="1"/>
  <c r="D919" i="13" s="1"/>
  <c r="E310" i="13"/>
  <c r="F310" i="13" s="1"/>
  <c r="D311" i="13" s="1"/>
  <c r="E570" i="13"/>
  <c r="F570" i="13" s="1"/>
  <c r="E657" i="13"/>
  <c r="F657" i="13" s="1"/>
  <c r="D658" i="13" s="1"/>
  <c r="D235" i="2"/>
  <c r="B233" i="2"/>
  <c r="G569" i="13"/>
  <c r="E761" i="20"/>
  <c r="F761" i="20" s="1"/>
  <c r="E223" i="13"/>
  <c r="F223" i="13" s="1"/>
  <c r="D224" i="13" s="1"/>
  <c r="A139" i="34"/>
  <c r="B140" i="34"/>
  <c r="G917" i="13"/>
  <c r="G656" i="13"/>
  <c r="E672" i="20"/>
  <c r="F672" i="20" s="1"/>
  <c r="E832" i="13"/>
  <c r="F832" i="13" s="1"/>
  <c r="E230" i="2"/>
  <c r="D833" i="13" l="1"/>
  <c r="E833" i="13" s="1"/>
  <c r="F833" i="13" s="1"/>
  <c r="G832" i="13"/>
  <c r="D408" i="20"/>
  <c r="D743" i="13"/>
  <c r="G742" i="13"/>
  <c r="D673" i="20"/>
  <c r="D762" i="20"/>
  <c r="D571" i="13"/>
  <c r="G570" i="13"/>
  <c r="D856" i="20"/>
  <c r="D318" i="20"/>
  <c r="E658" i="13"/>
  <c r="F658" i="13" s="1"/>
  <c r="E486" i="13"/>
  <c r="F486" i="13" s="1"/>
  <c r="E311" i="13"/>
  <c r="F311" i="13" s="1"/>
  <c r="A140" i="34"/>
  <c r="B151" i="34"/>
  <c r="B144" i="34"/>
  <c r="B202" i="34"/>
  <c r="G223" i="13"/>
  <c r="C19" i="13"/>
  <c r="D236" i="2"/>
  <c r="C19" i="20"/>
  <c r="B234" i="2"/>
  <c r="B235" i="2" s="1"/>
  <c r="G657" i="13"/>
  <c r="E397" i="13"/>
  <c r="F397" i="13" s="1"/>
  <c r="D398" i="13" s="1"/>
  <c r="E224" i="13"/>
  <c r="F224" i="13" s="1"/>
  <c r="E919" i="13"/>
  <c r="F919" i="13" s="1"/>
  <c r="E229" i="20"/>
  <c r="F229" i="20" s="1"/>
  <c r="D230" i="20" s="1"/>
  <c r="E496" i="20"/>
  <c r="F496" i="20" s="1"/>
  <c r="E136" i="13"/>
  <c r="F136" i="13" s="1"/>
  <c r="D137" i="13" s="1"/>
  <c r="E582" i="20"/>
  <c r="F582" i="20" s="1"/>
  <c r="G310" i="13"/>
  <c r="G918" i="13"/>
  <c r="E945" i="20"/>
  <c r="F945" i="20" s="1"/>
  <c r="E138" i="20"/>
  <c r="F138" i="20" s="1"/>
  <c r="D920" i="13" l="1"/>
  <c r="G919" i="13"/>
  <c r="D312" i="13"/>
  <c r="G311" i="13"/>
  <c r="D139" i="20"/>
  <c r="D497" i="20"/>
  <c r="D834" i="13"/>
  <c r="G833" i="13"/>
  <c r="D946" i="20"/>
  <c r="D583" i="20"/>
  <c r="D659" i="13"/>
  <c r="G658" i="13"/>
  <c r="D225" i="13"/>
  <c r="G224" i="13"/>
  <c r="D487" i="13"/>
  <c r="G486" i="13"/>
  <c r="E571" i="13"/>
  <c r="F571" i="13" s="1"/>
  <c r="E743" i="13"/>
  <c r="F743" i="13" s="1"/>
  <c r="D744" i="13" s="1"/>
  <c r="G397" i="13"/>
  <c r="C16" i="13"/>
  <c r="B236" i="2"/>
  <c r="C16" i="20"/>
  <c r="A143" i="34"/>
  <c r="B167" i="34"/>
  <c r="E856" i="20"/>
  <c r="F856" i="20" s="1"/>
  <c r="E673" i="20"/>
  <c r="F673" i="20" s="1"/>
  <c r="E137" i="13"/>
  <c r="F137" i="13" s="1"/>
  <c r="D138" i="13" s="1"/>
  <c r="E230" i="20"/>
  <c r="F230" i="20" s="1"/>
  <c r="G136" i="13"/>
  <c r="E398" i="13"/>
  <c r="F398" i="13" s="1"/>
  <c r="E318" i="20"/>
  <c r="F318" i="20" s="1"/>
  <c r="E762" i="20"/>
  <c r="F762" i="20" s="1"/>
  <c r="E408" i="20"/>
  <c r="F408" i="20" s="1"/>
  <c r="D231" i="20" l="1"/>
  <c r="D857" i="20"/>
  <c r="E857" i="20" s="1"/>
  <c r="D409" i="20"/>
  <c r="D319" i="20"/>
  <c r="D572" i="13"/>
  <c r="G571" i="13"/>
  <c r="D763" i="20"/>
  <c r="D399" i="13"/>
  <c r="G398" i="13"/>
  <c r="D674" i="20"/>
  <c r="E138" i="13"/>
  <c r="F138" i="13" s="1"/>
  <c r="D139" i="13" s="1"/>
  <c r="E583" i="20"/>
  <c r="F583" i="20" s="1"/>
  <c r="D584" i="20" s="1"/>
  <c r="E497" i="20"/>
  <c r="F497" i="20" s="1"/>
  <c r="D498" i="20" s="1"/>
  <c r="A144" i="34"/>
  <c r="A145" i="34" s="1"/>
  <c r="B206" i="34"/>
  <c r="B238" i="2"/>
  <c r="B240" i="2"/>
  <c r="B241" i="2" s="1"/>
  <c r="B242" i="2" s="1"/>
  <c r="B243" i="2" s="1"/>
  <c r="B244" i="2" s="1"/>
  <c r="E183" i="2"/>
  <c r="D171" i="2"/>
  <c r="E744" i="13"/>
  <c r="F744" i="13" s="1"/>
  <c r="E487" i="13"/>
  <c r="F487" i="13" s="1"/>
  <c r="E659" i="13"/>
  <c r="F659" i="13" s="1"/>
  <c r="D660" i="13" s="1"/>
  <c r="E834" i="13"/>
  <c r="F834" i="13" s="1"/>
  <c r="D835" i="13" s="1"/>
  <c r="E312" i="13"/>
  <c r="F312" i="13" s="1"/>
  <c r="E231" i="20"/>
  <c r="F231" i="20" s="1"/>
  <c r="G743" i="13"/>
  <c r="G137" i="13"/>
  <c r="E225" i="13"/>
  <c r="F225" i="13" s="1"/>
  <c r="E946" i="20"/>
  <c r="F946" i="20" s="1"/>
  <c r="E139" i="20"/>
  <c r="F139" i="20" s="1"/>
  <c r="E920" i="13"/>
  <c r="F920" i="13" s="1"/>
  <c r="D921" i="13" s="1"/>
  <c r="F857" i="20" l="1"/>
  <c r="D858" i="20" s="1"/>
  <c r="E858" i="20" s="1"/>
  <c r="F858" i="20" s="1"/>
  <c r="G659" i="13"/>
  <c r="G920" i="13"/>
  <c r="G834" i="13"/>
  <c r="G138" i="13"/>
  <c r="D488" i="13"/>
  <c r="G487" i="13"/>
  <c r="D947" i="20"/>
  <c r="D313" i="13"/>
  <c r="G312" i="13"/>
  <c r="D745" i="13"/>
  <c r="G744" i="13"/>
  <c r="D140" i="20"/>
  <c r="D226" i="13"/>
  <c r="G225" i="13"/>
  <c r="D232" i="20"/>
  <c r="E498" i="20"/>
  <c r="F498" i="20" s="1"/>
  <c r="D499" i="20" s="1"/>
  <c r="E584" i="20"/>
  <c r="F584" i="20" s="1"/>
  <c r="D585" i="20" s="1"/>
  <c r="E399" i="13"/>
  <c r="F399" i="13" s="1"/>
  <c r="D400" i="13" s="1"/>
  <c r="E319" i="20"/>
  <c r="F319" i="20" s="1"/>
  <c r="E660" i="13"/>
  <c r="F660" i="13" s="1"/>
  <c r="D661" i="13" s="1"/>
  <c r="E572" i="13"/>
  <c r="F572" i="13" s="1"/>
  <c r="D573" i="13" s="1"/>
  <c r="E248" i="2"/>
  <c r="B245" i="2"/>
  <c r="B246" i="2" s="1"/>
  <c r="B247" i="2" s="1"/>
  <c r="B248" i="2" s="1"/>
  <c r="B250" i="2" s="1"/>
  <c r="B251" i="2" s="1"/>
  <c r="B252" i="2" s="1"/>
  <c r="B253" i="2" s="1"/>
  <c r="B254" i="2" s="1"/>
  <c r="E835" i="13"/>
  <c r="F835" i="13" s="1"/>
  <c r="E139" i="13"/>
  <c r="F139" i="13" s="1"/>
  <c r="E674" i="20"/>
  <c r="F674" i="20" s="1"/>
  <c r="D675" i="20" s="1"/>
  <c r="E921" i="13"/>
  <c r="F921" i="13" s="1"/>
  <c r="D922" i="13" s="1"/>
  <c r="A146" i="34"/>
  <c r="B208" i="34"/>
  <c r="E763" i="20"/>
  <c r="F763" i="20" s="1"/>
  <c r="E409" i="20"/>
  <c r="F409" i="20" s="1"/>
  <c r="D410" i="20" s="1"/>
  <c r="D320" i="20" l="1"/>
  <c r="E320" i="20" s="1"/>
  <c r="F320" i="20" s="1"/>
  <c r="D140" i="13"/>
  <c r="G139" i="13"/>
  <c r="D836" i="13"/>
  <c r="G835" i="13"/>
  <c r="D764" i="20"/>
  <c r="D859" i="20"/>
  <c r="E585" i="20"/>
  <c r="F585" i="20" s="1"/>
  <c r="D586" i="20" s="1"/>
  <c r="E745" i="13"/>
  <c r="F745" i="13" s="1"/>
  <c r="D746" i="13" s="1"/>
  <c r="E410" i="20"/>
  <c r="F410" i="20" s="1"/>
  <c r="D411" i="20" s="1"/>
  <c r="E573" i="13"/>
  <c r="F573" i="13" s="1"/>
  <c r="E232" i="20"/>
  <c r="F232" i="20" s="1"/>
  <c r="E947" i="20"/>
  <c r="F947" i="20" s="1"/>
  <c r="E922" i="13"/>
  <c r="F922" i="13" s="1"/>
  <c r="E400" i="13"/>
  <c r="F400" i="13" s="1"/>
  <c r="E499" i="20"/>
  <c r="F499" i="20" s="1"/>
  <c r="G921" i="13"/>
  <c r="G572" i="13"/>
  <c r="G399" i="13"/>
  <c r="E140" i="20"/>
  <c r="F140" i="20" s="1"/>
  <c r="E313" i="13"/>
  <c r="F313" i="13" s="1"/>
  <c r="A147" i="34"/>
  <c r="B209" i="34"/>
  <c r="E675" i="20"/>
  <c r="F675" i="20" s="1"/>
  <c r="E661" i="13"/>
  <c r="F661" i="13" s="1"/>
  <c r="G660" i="13"/>
  <c r="E226" i="13"/>
  <c r="F226" i="13" s="1"/>
  <c r="E488" i="13"/>
  <c r="F488" i="13" s="1"/>
  <c r="D574" i="13" l="1"/>
  <c r="E574" i="13" s="1"/>
  <c r="F574" i="13" s="1"/>
  <c r="G573" i="13"/>
  <c r="G745" i="13"/>
  <c r="D676" i="20"/>
  <c r="D948" i="20"/>
  <c r="D500" i="20"/>
  <c r="D489" i="13"/>
  <c r="G488" i="13"/>
  <c r="D227" i="13"/>
  <c r="G226" i="13"/>
  <c r="D401" i="13"/>
  <c r="G400" i="13"/>
  <c r="D321" i="20"/>
  <c r="D314" i="13"/>
  <c r="G313" i="13"/>
  <c r="D141" i="20"/>
  <c r="D662" i="13"/>
  <c r="G661" i="13"/>
  <c r="D923" i="13"/>
  <c r="G922" i="13"/>
  <c r="D233" i="20"/>
  <c r="E586" i="20"/>
  <c r="F586" i="20" s="1"/>
  <c r="D587" i="20" s="1"/>
  <c r="E411" i="20"/>
  <c r="F411" i="20" s="1"/>
  <c r="E746" i="13"/>
  <c r="F746" i="13" s="1"/>
  <c r="E836" i="13"/>
  <c r="F836" i="13" s="1"/>
  <c r="E859" i="20"/>
  <c r="F859" i="20" s="1"/>
  <c r="A150" i="34"/>
  <c r="B152" i="34"/>
  <c r="E764" i="20"/>
  <c r="F764" i="20" s="1"/>
  <c r="E140" i="13"/>
  <c r="F140" i="13" s="1"/>
  <c r="D141" i="13" s="1"/>
  <c r="D837" i="13" l="1"/>
  <c r="G836" i="13"/>
  <c r="D765" i="20"/>
  <c r="E765" i="20" s="1"/>
  <c r="F765" i="20" s="1"/>
  <c r="D747" i="13"/>
  <c r="G746" i="13"/>
  <c r="D860" i="20"/>
  <c r="D412" i="20"/>
  <c r="D575" i="13"/>
  <c r="G574" i="13"/>
  <c r="E141" i="13"/>
  <c r="F141" i="13" s="1"/>
  <c r="D142" i="13" s="1"/>
  <c r="A151" i="34"/>
  <c r="E233" i="20"/>
  <c r="F233" i="20" s="1"/>
  <c r="G140" i="13"/>
  <c r="E837" i="13"/>
  <c r="E923" i="13"/>
  <c r="F923" i="13" s="1"/>
  <c r="D924" i="13" s="1"/>
  <c r="E401" i="13"/>
  <c r="F401" i="13" s="1"/>
  <c r="D402" i="13" s="1"/>
  <c r="E489" i="13"/>
  <c r="F489" i="13" s="1"/>
  <c r="E587" i="20"/>
  <c r="F587" i="20" s="1"/>
  <c r="E662" i="13"/>
  <c r="F662" i="13" s="1"/>
  <c r="E321" i="20"/>
  <c r="F321" i="20" s="1"/>
  <c r="E227" i="13"/>
  <c r="F227" i="13" s="1"/>
  <c r="E948" i="20"/>
  <c r="F948" i="20" s="1"/>
  <c r="E314" i="13"/>
  <c r="F314" i="13" s="1"/>
  <c r="E500" i="20"/>
  <c r="F500" i="20" s="1"/>
  <c r="E141" i="20"/>
  <c r="F141" i="20" s="1"/>
  <c r="D142" i="20" s="1"/>
  <c r="E676" i="20"/>
  <c r="F676" i="20" s="1"/>
  <c r="D677" i="20" s="1"/>
  <c r="F837" i="13" l="1"/>
  <c r="D838" i="13" s="1"/>
  <c r="G401" i="13"/>
  <c r="G837" i="13"/>
  <c r="D228" i="13"/>
  <c r="G227" i="13"/>
  <c r="D315" i="13"/>
  <c r="G314" i="13"/>
  <c r="D322" i="20"/>
  <c r="D490" i="13"/>
  <c r="G489" i="13"/>
  <c r="D501" i="20"/>
  <c r="D766" i="20"/>
  <c r="D663" i="13"/>
  <c r="G662" i="13"/>
  <c r="D234" i="20"/>
  <c r="D949" i="20"/>
  <c r="D588" i="20"/>
  <c r="E142" i="13"/>
  <c r="F142" i="13" s="1"/>
  <c r="E677" i="20"/>
  <c r="F677" i="20" s="1"/>
  <c r="E142" i="20"/>
  <c r="F142" i="20" s="1"/>
  <c r="D143" i="20" s="1"/>
  <c r="E402" i="13"/>
  <c r="F402" i="13" s="1"/>
  <c r="E838" i="13"/>
  <c r="F838" i="13" s="1"/>
  <c r="A152" i="34"/>
  <c r="G923" i="13"/>
  <c r="E412" i="20"/>
  <c r="F412" i="20" s="1"/>
  <c r="D413" i="20" s="1"/>
  <c r="E924" i="13"/>
  <c r="F924" i="13" s="1"/>
  <c r="D925" i="13" s="1"/>
  <c r="E860" i="20"/>
  <c r="F860" i="20" s="1"/>
  <c r="D861" i="20" s="1"/>
  <c r="G141" i="13"/>
  <c r="E575" i="13"/>
  <c r="F575" i="13" s="1"/>
  <c r="E747" i="13"/>
  <c r="F747" i="13" s="1"/>
  <c r="D748" i="13" s="1"/>
  <c r="D143" i="13" l="1"/>
  <c r="E143" i="13" s="1"/>
  <c r="F143" i="13" s="1"/>
  <c r="G142" i="13"/>
  <c r="G747" i="13"/>
  <c r="G924" i="13"/>
  <c r="D576" i="13"/>
  <c r="G575" i="13"/>
  <c r="D839" i="13"/>
  <c r="G838" i="13"/>
  <c r="D403" i="13"/>
  <c r="G402" i="13"/>
  <c r="D678" i="20"/>
  <c r="E925" i="13"/>
  <c r="F925" i="13" s="1"/>
  <c r="E143" i="20"/>
  <c r="F143" i="20" s="1"/>
  <c r="E315" i="13"/>
  <c r="F315" i="13" s="1"/>
  <c r="E588" i="20"/>
  <c r="F588" i="20" s="1"/>
  <c r="E663" i="13"/>
  <c r="F663" i="13" s="1"/>
  <c r="E748" i="13"/>
  <c r="F748" i="13" s="1"/>
  <c r="E861" i="20"/>
  <c r="F861" i="20" s="1"/>
  <c r="E234" i="20"/>
  <c r="F234" i="20" s="1"/>
  <c r="D235" i="20" s="1"/>
  <c r="E501" i="20"/>
  <c r="F501" i="20" s="1"/>
  <c r="E413" i="20"/>
  <c r="F413" i="20" s="1"/>
  <c r="D414" i="20" s="1"/>
  <c r="E490" i="13"/>
  <c r="F490" i="13" s="1"/>
  <c r="A153" i="34"/>
  <c r="B157" i="34"/>
  <c r="E949" i="20"/>
  <c r="F949" i="20" s="1"/>
  <c r="D950" i="20" s="1"/>
  <c r="E766" i="20"/>
  <c r="F766" i="20" s="1"/>
  <c r="E322" i="20"/>
  <c r="F322" i="20" s="1"/>
  <c r="E228" i="13"/>
  <c r="F228" i="13" s="1"/>
  <c r="D589" i="20" l="1"/>
  <c r="E589" i="20" s="1"/>
  <c r="F589" i="20" s="1"/>
  <c r="D664" i="13"/>
  <c r="G663" i="13"/>
  <c r="D229" i="13"/>
  <c r="G228" i="13"/>
  <c r="D144" i="13"/>
  <c r="G143" i="13"/>
  <c r="D926" i="13"/>
  <c r="G925" i="13"/>
  <c r="D749" i="13"/>
  <c r="G748" i="13"/>
  <c r="D144" i="20"/>
  <c r="D767" i="20"/>
  <c r="D862" i="20"/>
  <c r="D316" i="13"/>
  <c r="G315" i="13"/>
  <c r="D323" i="20"/>
  <c r="D491" i="13"/>
  <c r="G490" i="13"/>
  <c r="D502" i="20"/>
  <c r="E235" i="20"/>
  <c r="F235" i="20" s="1"/>
  <c r="A155" i="34"/>
  <c r="B155" i="34"/>
  <c r="B156" i="34"/>
  <c r="E414" i="20"/>
  <c r="F414" i="20" s="1"/>
  <c r="E678" i="20"/>
  <c r="F678" i="20" s="1"/>
  <c r="E839" i="13"/>
  <c r="F839" i="13" s="1"/>
  <c r="E950" i="20"/>
  <c r="F950" i="20" s="1"/>
  <c r="D951" i="20" s="1"/>
  <c r="E403" i="13"/>
  <c r="F403" i="13" s="1"/>
  <c r="E576" i="13"/>
  <c r="F576" i="13" s="1"/>
  <c r="D404" i="13" l="1"/>
  <c r="G403" i="13"/>
  <c r="D840" i="13"/>
  <c r="E840" i="13" s="1"/>
  <c r="F840" i="13" s="1"/>
  <c r="G839" i="13"/>
  <c r="D415" i="20"/>
  <c r="D577" i="13"/>
  <c r="G576" i="13"/>
  <c r="D679" i="20"/>
  <c r="D590" i="20"/>
  <c r="D236" i="20"/>
  <c r="E951" i="20"/>
  <c r="F951" i="20" s="1"/>
  <c r="E316" i="13"/>
  <c r="F316" i="13" s="1"/>
  <c r="E415" i="20"/>
  <c r="F415" i="20" s="1"/>
  <c r="E502" i="20"/>
  <c r="F502" i="20" s="1"/>
  <c r="D503" i="20" s="1"/>
  <c r="E144" i="20"/>
  <c r="F144" i="20" s="1"/>
  <c r="E926" i="13"/>
  <c r="F926" i="13" s="1"/>
  <c r="E404" i="13"/>
  <c r="F404" i="13" s="1"/>
  <c r="A156" i="34"/>
  <c r="E323" i="20"/>
  <c r="F323" i="20" s="1"/>
  <c r="E767" i="20"/>
  <c r="F767" i="20" s="1"/>
  <c r="E229" i="13"/>
  <c r="F229" i="13" s="1"/>
  <c r="E491" i="13"/>
  <c r="F491" i="13" s="1"/>
  <c r="D492" i="13" s="1"/>
  <c r="E862" i="20"/>
  <c r="F862" i="20" s="1"/>
  <c r="E749" i="13"/>
  <c r="F749" i="13" s="1"/>
  <c r="D750" i="13" s="1"/>
  <c r="E144" i="13"/>
  <c r="F144" i="13" s="1"/>
  <c r="E664" i="13"/>
  <c r="F664" i="13" s="1"/>
  <c r="D665" i="13" s="1"/>
  <c r="D863" i="20" l="1"/>
  <c r="E863" i="20" s="1"/>
  <c r="F863" i="20" s="1"/>
  <c r="D230" i="13"/>
  <c r="E230" i="13" s="1"/>
  <c r="F230" i="13" s="1"/>
  <c r="D231" i="13" s="1"/>
  <c r="G229" i="13"/>
  <c r="G749" i="13"/>
  <c r="D145" i="13"/>
  <c r="G144" i="13"/>
  <c r="D927" i="13"/>
  <c r="G926" i="13"/>
  <c r="D416" i="20"/>
  <c r="D324" i="20"/>
  <c r="D841" i="13"/>
  <c r="G840" i="13"/>
  <c r="D317" i="13"/>
  <c r="G316" i="13"/>
  <c r="D768" i="20"/>
  <c r="D952" i="20"/>
  <c r="D145" i="20"/>
  <c r="D405" i="13"/>
  <c r="G404" i="13"/>
  <c r="E665" i="13"/>
  <c r="F665" i="13" s="1"/>
  <c r="E503" i="20"/>
  <c r="F503" i="20" s="1"/>
  <c r="D504" i="20" s="1"/>
  <c r="E750" i="13"/>
  <c r="F750" i="13" s="1"/>
  <c r="D751" i="13" s="1"/>
  <c r="E492" i="13"/>
  <c r="F492" i="13" s="1"/>
  <c r="D493" i="13" s="1"/>
  <c r="G491" i="13"/>
  <c r="A157" i="34"/>
  <c r="E679" i="20"/>
  <c r="F679" i="20" s="1"/>
  <c r="E590" i="20"/>
  <c r="F590" i="20" s="1"/>
  <c r="G664" i="13"/>
  <c r="E236" i="20"/>
  <c r="F236" i="20" s="1"/>
  <c r="E577" i="13"/>
  <c r="F577" i="13" s="1"/>
  <c r="D680" i="20" l="1"/>
  <c r="E680" i="20" s="1"/>
  <c r="F680" i="20" s="1"/>
  <c r="D864" i="20"/>
  <c r="E864" i="20" s="1"/>
  <c r="D237" i="20"/>
  <c r="D666" i="13"/>
  <c r="G665" i="13"/>
  <c r="D578" i="13"/>
  <c r="G577" i="13"/>
  <c r="D591" i="20"/>
  <c r="E751" i="13"/>
  <c r="F751" i="13" s="1"/>
  <c r="D752" i="13" s="1"/>
  <c r="E504" i="20"/>
  <c r="F504" i="20" s="1"/>
  <c r="D505" i="20" s="1"/>
  <c r="E405" i="13"/>
  <c r="F405" i="13" s="1"/>
  <c r="D406" i="13" s="1"/>
  <c r="A159" i="34"/>
  <c r="A161" i="34" s="1"/>
  <c r="A162" i="34" s="1"/>
  <c r="A163" i="34" s="1"/>
  <c r="A166" i="34" s="1"/>
  <c r="G492" i="13"/>
  <c r="E952" i="20"/>
  <c r="F952" i="20" s="1"/>
  <c r="D953" i="20" s="1"/>
  <c r="E493" i="13"/>
  <c r="F493" i="13" s="1"/>
  <c r="E324" i="20"/>
  <c r="F324" i="20" s="1"/>
  <c r="E231" i="13"/>
  <c r="F231" i="13" s="1"/>
  <c r="E768" i="20"/>
  <c r="F768" i="20" s="1"/>
  <c r="E841" i="13"/>
  <c r="F841" i="13" s="1"/>
  <c r="E927" i="13"/>
  <c r="F927" i="13" s="1"/>
  <c r="G230" i="13"/>
  <c r="G750" i="13"/>
  <c r="E145" i="20"/>
  <c r="F145" i="20" s="1"/>
  <c r="E317" i="13"/>
  <c r="F317" i="13" s="1"/>
  <c r="E416" i="20"/>
  <c r="F416" i="20" s="1"/>
  <c r="D417" i="20" s="1"/>
  <c r="E145" i="13"/>
  <c r="F145" i="13" s="1"/>
  <c r="D146" i="13" s="1"/>
  <c r="D325" i="20" l="1"/>
  <c r="E325" i="20" s="1"/>
  <c r="F325" i="20" s="1"/>
  <c r="D232" i="13"/>
  <c r="E232" i="13" s="1"/>
  <c r="F232" i="13" s="1"/>
  <c r="D233" i="13" s="1"/>
  <c r="G231" i="13"/>
  <c r="D681" i="20"/>
  <c r="E681" i="20" s="1"/>
  <c r="F681" i="20" s="1"/>
  <c r="F864" i="20"/>
  <c r="D865" i="20" s="1"/>
  <c r="E865" i="20" s="1"/>
  <c r="F865" i="20" s="1"/>
  <c r="D928" i="13"/>
  <c r="G927" i="13"/>
  <c r="D318" i="13"/>
  <c r="G317" i="13"/>
  <c r="D842" i="13"/>
  <c r="G841" i="13"/>
  <c r="D146" i="20"/>
  <c r="D769" i="20"/>
  <c r="D494" i="13"/>
  <c r="G493" i="13"/>
  <c r="E146" i="13"/>
  <c r="F146" i="13" s="1"/>
  <c r="E417" i="20"/>
  <c r="F417" i="20" s="1"/>
  <c r="D418" i="20" s="1"/>
  <c r="E953" i="20"/>
  <c r="F953" i="20" s="1"/>
  <c r="D954" i="20" s="1"/>
  <c r="A167" i="34"/>
  <c r="B171" i="34"/>
  <c r="E406" i="13"/>
  <c r="F406" i="13" s="1"/>
  <c r="D407" i="13" s="1"/>
  <c r="E752" i="13"/>
  <c r="F752" i="13" s="1"/>
  <c r="D753" i="13" s="1"/>
  <c r="E591" i="20"/>
  <c r="F591" i="20" s="1"/>
  <c r="D592" i="20" s="1"/>
  <c r="G751" i="13"/>
  <c r="E578" i="13"/>
  <c r="F578" i="13" s="1"/>
  <c r="E505" i="20"/>
  <c r="F505" i="20" s="1"/>
  <c r="E666" i="13"/>
  <c r="F666" i="13" s="1"/>
  <c r="D667" i="13" s="1"/>
  <c r="G145" i="13"/>
  <c r="G405" i="13"/>
  <c r="E237" i="20"/>
  <c r="F237" i="20" s="1"/>
  <c r="D326" i="20" l="1"/>
  <c r="E326" i="20" s="1"/>
  <c r="F326" i="20" s="1"/>
  <c r="D327" i="20" s="1"/>
  <c r="D506" i="20"/>
  <c r="E506" i="20" s="1"/>
  <c r="F506" i="20" s="1"/>
  <c r="G666" i="13"/>
  <c r="D147" i="13"/>
  <c r="G146" i="13"/>
  <c r="D238" i="20"/>
  <c r="D579" i="13"/>
  <c r="G578" i="13"/>
  <c r="D682" i="20"/>
  <c r="D866" i="20"/>
  <c r="E407" i="13"/>
  <c r="F407" i="13" s="1"/>
  <c r="E592" i="20"/>
  <c r="F592" i="20" s="1"/>
  <c r="G752" i="13"/>
  <c r="E954" i="20"/>
  <c r="F954" i="20" s="1"/>
  <c r="E418" i="20"/>
  <c r="F418" i="20" s="1"/>
  <c r="E146" i="20"/>
  <c r="F146" i="20" s="1"/>
  <c r="D147" i="20" s="1"/>
  <c r="G232" i="13"/>
  <c r="A168" i="34"/>
  <c r="B172" i="34"/>
  <c r="E769" i="20"/>
  <c r="F769" i="20" s="1"/>
  <c r="E233" i="13"/>
  <c r="F233" i="13" s="1"/>
  <c r="E753" i="13"/>
  <c r="F753" i="13" s="1"/>
  <c r="E667" i="13"/>
  <c r="F667" i="13" s="1"/>
  <c r="E318" i="13"/>
  <c r="F318" i="13" s="1"/>
  <c r="G406" i="13"/>
  <c r="E494" i="13"/>
  <c r="F494" i="13" s="1"/>
  <c r="E842" i="13"/>
  <c r="F842" i="13" s="1"/>
  <c r="E928" i="13"/>
  <c r="F928" i="13" s="1"/>
  <c r="D495" i="13" l="1"/>
  <c r="E495" i="13" s="1"/>
  <c r="F495" i="13" s="1"/>
  <c r="D496" i="13" s="1"/>
  <c r="G494" i="13"/>
  <c r="D668" i="13"/>
  <c r="E668" i="13" s="1"/>
  <c r="G667" i="13"/>
  <c r="D593" i="20"/>
  <c r="D419" i="20"/>
  <c r="E419" i="20" s="1"/>
  <c r="F419" i="20" s="1"/>
  <c r="D420" i="20" s="1"/>
  <c r="D507" i="20"/>
  <c r="E507" i="20" s="1"/>
  <c r="D408" i="13"/>
  <c r="E408" i="13" s="1"/>
  <c r="F408" i="13" s="1"/>
  <c r="G407" i="13"/>
  <c r="D955" i="20"/>
  <c r="E955" i="20" s="1"/>
  <c r="D929" i="13"/>
  <c r="G928" i="13"/>
  <c r="D754" i="13"/>
  <c r="G753" i="13"/>
  <c r="D843" i="13"/>
  <c r="G842" i="13"/>
  <c r="D234" i="13"/>
  <c r="G233" i="13"/>
  <c r="D770" i="20"/>
  <c r="D319" i="13"/>
  <c r="G318" i="13"/>
  <c r="E327" i="20"/>
  <c r="F327" i="20" s="1"/>
  <c r="E866" i="20"/>
  <c r="F866" i="20" s="1"/>
  <c r="D867" i="20" s="1"/>
  <c r="E238" i="20"/>
  <c r="F238" i="20" s="1"/>
  <c r="E579" i="13"/>
  <c r="F579" i="13" s="1"/>
  <c r="D580" i="13" s="1"/>
  <c r="A171" i="34"/>
  <c r="A172" i="34" s="1"/>
  <c r="A173" i="34" s="1"/>
  <c r="A174" i="34" s="1"/>
  <c r="A183" i="34" s="1"/>
  <c r="A184" i="34" s="1"/>
  <c r="A185" i="34" s="1"/>
  <c r="A186" i="34" s="1"/>
  <c r="A187" i="34" s="1"/>
  <c r="A188" i="34" s="1"/>
  <c r="B173" i="34"/>
  <c r="E147" i="20"/>
  <c r="F147" i="20" s="1"/>
  <c r="E682" i="20"/>
  <c r="F682" i="20" s="1"/>
  <c r="D683" i="20" s="1"/>
  <c r="E147" i="13"/>
  <c r="F147" i="13" s="1"/>
  <c r="E593" i="20" l="1"/>
  <c r="F593" i="20" s="1"/>
  <c r="D409" i="13"/>
  <c r="E409" i="13" s="1"/>
  <c r="F409" i="13" s="1"/>
  <c r="G408" i="13"/>
  <c r="F955" i="20"/>
  <c r="F668" i="13"/>
  <c r="D669" i="13" s="1"/>
  <c r="E669" i="13" s="1"/>
  <c r="F669" i="13" s="1"/>
  <c r="D148" i="20"/>
  <c r="F507" i="20"/>
  <c r="D148" i="13"/>
  <c r="G147" i="13"/>
  <c r="D239" i="20"/>
  <c r="D328" i="20"/>
  <c r="E496" i="13"/>
  <c r="F496" i="13" s="1"/>
  <c r="E683" i="20"/>
  <c r="F683" i="20" s="1"/>
  <c r="D684" i="20" s="1"/>
  <c r="E319" i="13"/>
  <c r="F319" i="13" s="1"/>
  <c r="E867" i="20"/>
  <c r="F867" i="20" s="1"/>
  <c r="E234" i="13"/>
  <c r="F234" i="13" s="1"/>
  <c r="D235" i="13" s="1"/>
  <c r="G495" i="13"/>
  <c r="E148" i="20"/>
  <c r="F148" i="20" s="1"/>
  <c r="E580" i="13"/>
  <c r="F580" i="13" s="1"/>
  <c r="A190" i="34"/>
  <c r="B213" i="34"/>
  <c r="E420" i="20"/>
  <c r="F420" i="20" s="1"/>
  <c r="D421" i="20" s="1"/>
  <c r="E754" i="13"/>
  <c r="F754" i="13" s="1"/>
  <c r="G579" i="13"/>
  <c r="E770" i="20"/>
  <c r="F770" i="20" s="1"/>
  <c r="E843" i="13"/>
  <c r="F843" i="13" s="1"/>
  <c r="E929" i="13"/>
  <c r="F929" i="13" s="1"/>
  <c r="D844" i="13" l="1"/>
  <c r="E844" i="13" s="1"/>
  <c r="F844" i="13" s="1"/>
  <c r="D845" i="13" s="1"/>
  <c r="G843" i="13"/>
  <c r="D594" i="20"/>
  <c r="E594" i="20" s="1"/>
  <c r="F594" i="20" s="1"/>
  <c r="D956" i="20"/>
  <c r="G668" i="13"/>
  <c r="D497" i="13"/>
  <c r="E497" i="13" s="1"/>
  <c r="F497" i="13" s="1"/>
  <c r="G496" i="13"/>
  <c r="D670" i="13"/>
  <c r="E670" i="13" s="1"/>
  <c r="F670" i="13" s="1"/>
  <c r="G669" i="13"/>
  <c r="D410" i="13"/>
  <c r="E410" i="13" s="1"/>
  <c r="F410" i="13" s="1"/>
  <c r="D411" i="13" s="1"/>
  <c r="G409" i="13"/>
  <c r="D508" i="20"/>
  <c r="E508" i="20" s="1"/>
  <c r="F508" i="20" s="1"/>
  <c r="D509" i="20" s="1"/>
  <c r="D149" i="20"/>
  <c r="D868" i="20"/>
  <c r="D581" i="13"/>
  <c r="G580" i="13"/>
  <c r="D320" i="13"/>
  <c r="G319" i="13"/>
  <c r="D755" i="13"/>
  <c r="G754" i="13"/>
  <c r="D930" i="13"/>
  <c r="G929" i="13"/>
  <c r="D771" i="20"/>
  <c r="E235" i="13"/>
  <c r="F235" i="13" s="1"/>
  <c r="E328" i="20"/>
  <c r="F328" i="20" s="1"/>
  <c r="D329" i="20" s="1"/>
  <c r="E421" i="20"/>
  <c r="F421" i="20" s="1"/>
  <c r="D422" i="20" s="1"/>
  <c r="E684" i="20"/>
  <c r="F684" i="20" s="1"/>
  <c r="E239" i="20"/>
  <c r="F239" i="20" s="1"/>
  <c r="B187" i="34"/>
  <c r="A193" i="34"/>
  <c r="A194" i="34" s="1"/>
  <c r="A195" i="34" s="1"/>
  <c r="A196" i="34" s="1"/>
  <c r="A197" i="34" s="1"/>
  <c r="A198" i="34" s="1"/>
  <c r="A199" i="34" s="1"/>
  <c r="G234" i="13"/>
  <c r="E148" i="13"/>
  <c r="F148" i="13" s="1"/>
  <c r="D149" i="13" s="1"/>
  <c r="D595" i="20" l="1"/>
  <c r="E956" i="20"/>
  <c r="F956" i="20" s="1"/>
  <c r="D240" i="20"/>
  <c r="E240" i="20" s="1"/>
  <c r="F240" i="20" s="1"/>
  <c r="D685" i="20"/>
  <c r="E685" i="20" s="1"/>
  <c r="F685" i="20" s="1"/>
  <c r="G148" i="13"/>
  <c r="D236" i="13"/>
  <c r="G235" i="13"/>
  <c r="D671" i="13"/>
  <c r="G670" i="13"/>
  <c r="D498" i="13"/>
  <c r="G497" i="13"/>
  <c r="E930" i="13"/>
  <c r="F930" i="13" s="1"/>
  <c r="D931" i="13" s="1"/>
  <c r="E241" i="2"/>
  <c r="A202" i="34"/>
  <c r="B229" i="34"/>
  <c r="E329" i="20"/>
  <c r="F329" i="20" s="1"/>
  <c r="D330" i="20" s="1"/>
  <c r="E509" i="20"/>
  <c r="F509" i="20" s="1"/>
  <c r="D510" i="20" s="1"/>
  <c r="E868" i="20"/>
  <c r="F868" i="20" s="1"/>
  <c r="E771" i="20"/>
  <c r="F771" i="20" s="1"/>
  <c r="E755" i="13"/>
  <c r="F755" i="13" s="1"/>
  <c r="D756" i="13" s="1"/>
  <c r="E581" i="13"/>
  <c r="F581" i="13" s="1"/>
  <c r="E845" i="13"/>
  <c r="F845" i="13" s="1"/>
  <c r="D846" i="13" s="1"/>
  <c r="E422" i="20"/>
  <c r="F422" i="20" s="1"/>
  <c r="E411" i="13"/>
  <c r="F411" i="13" s="1"/>
  <c r="E320" i="13"/>
  <c r="F320" i="13" s="1"/>
  <c r="E149" i="13"/>
  <c r="F149" i="13" s="1"/>
  <c r="G844" i="13"/>
  <c r="G410" i="13"/>
  <c r="E595" i="20"/>
  <c r="F595" i="20" s="1"/>
  <c r="E149" i="20"/>
  <c r="F149" i="20" s="1"/>
  <c r="D150" i="20" s="1"/>
  <c r="D596" i="20" l="1"/>
  <c r="D957" i="20"/>
  <c r="D241" i="20"/>
  <c r="E241" i="20" s="1"/>
  <c r="F241" i="20" s="1"/>
  <c r="D582" i="13"/>
  <c r="G581" i="13"/>
  <c r="D321" i="13"/>
  <c r="G320" i="13"/>
  <c r="D869" i="20"/>
  <c r="D412" i="13"/>
  <c r="G411" i="13"/>
  <c r="D150" i="13"/>
  <c r="G149" i="13"/>
  <c r="D686" i="20"/>
  <c r="D423" i="20"/>
  <c r="D772" i="20"/>
  <c r="E150" i="20"/>
  <c r="F150" i="20" s="1"/>
  <c r="E931" i="13"/>
  <c r="F931" i="13" s="1"/>
  <c r="D932" i="13" s="1"/>
  <c r="E596" i="20"/>
  <c r="F596" i="20" s="1"/>
  <c r="D597" i="20" s="1"/>
  <c r="G755" i="13"/>
  <c r="G930" i="13"/>
  <c r="E756" i="13"/>
  <c r="F756" i="13" s="1"/>
  <c r="D757" i="13" s="1"/>
  <c r="E330" i="20"/>
  <c r="F330" i="20" s="1"/>
  <c r="E498" i="13"/>
  <c r="F498" i="13" s="1"/>
  <c r="G845" i="13"/>
  <c r="B214" i="34"/>
  <c r="B207" i="34"/>
  <c r="A203" i="34"/>
  <c r="E671" i="13"/>
  <c r="F671" i="13" s="1"/>
  <c r="D672" i="13" s="1"/>
  <c r="E846" i="13"/>
  <c r="F846" i="13" s="1"/>
  <c r="D847" i="13" s="1"/>
  <c r="E236" i="13"/>
  <c r="F236" i="13" s="1"/>
  <c r="E510" i="20"/>
  <c r="F510" i="20" s="1"/>
  <c r="D511" i="20" s="1"/>
  <c r="G931" i="13" l="1"/>
  <c r="E957" i="20"/>
  <c r="F957" i="20" s="1"/>
  <c r="D958" i="20" s="1"/>
  <c r="E958" i="20" s="1"/>
  <c r="F958" i="20" s="1"/>
  <c r="D959" i="20" s="1"/>
  <c r="D237" i="13"/>
  <c r="E237" i="13" s="1"/>
  <c r="F237" i="13" s="1"/>
  <c r="G236" i="13"/>
  <c r="D151" i="20"/>
  <c r="E151" i="20" s="1"/>
  <c r="F151" i="20" s="1"/>
  <c r="D152" i="20" s="1"/>
  <c r="D499" i="13"/>
  <c r="G498" i="13"/>
  <c r="D331" i="20"/>
  <c r="D242" i="20"/>
  <c r="E847" i="13"/>
  <c r="F847" i="13" s="1"/>
  <c r="E932" i="13"/>
  <c r="F932" i="13" s="1"/>
  <c r="E423" i="20"/>
  <c r="F423" i="20" s="1"/>
  <c r="E321" i="13"/>
  <c r="F321" i="13" s="1"/>
  <c r="E757" i="13"/>
  <c r="F757" i="13" s="1"/>
  <c r="E597" i="20"/>
  <c r="F597" i="20" s="1"/>
  <c r="D598" i="20" s="1"/>
  <c r="G846" i="13"/>
  <c r="G671" i="13"/>
  <c r="E772" i="20"/>
  <c r="F772" i="20" s="1"/>
  <c r="D773" i="20" s="1"/>
  <c r="E150" i="13"/>
  <c r="F150" i="13" s="1"/>
  <c r="E511" i="20"/>
  <c r="F511" i="20" s="1"/>
  <c r="E672" i="13"/>
  <c r="F672" i="13" s="1"/>
  <c r="D673" i="13" s="1"/>
  <c r="E686" i="20"/>
  <c r="F686" i="20" s="1"/>
  <c r="E412" i="13"/>
  <c r="F412" i="13" s="1"/>
  <c r="D413" i="13" s="1"/>
  <c r="E242" i="2"/>
  <c r="B230" i="34"/>
  <c r="A206" i="34"/>
  <c r="G756" i="13"/>
  <c r="E869" i="20"/>
  <c r="F869" i="20" s="1"/>
  <c r="E582" i="13"/>
  <c r="F582" i="13" s="1"/>
  <c r="D424" i="20" l="1"/>
  <c r="D870" i="20"/>
  <c r="E870" i="20" s="1"/>
  <c r="F870" i="20" s="1"/>
  <c r="D871" i="20" s="1"/>
  <c r="D687" i="20"/>
  <c r="E687" i="20" s="1"/>
  <c r="F687" i="20" s="1"/>
  <c r="D688" i="20" s="1"/>
  <c r="D151" i="13"/>
  <c r="G150" i="13"/>
  <c r="D322" i="13"/>
  <c r="G321" i="13"/>
  <c r="D933" i="13"/>
  <c r="G932" i="13"/>
  <c r="D848" i="13"/>
  <c r="G847" i="13"/>
  <c r="D583" i="13"/>
  <c r="G582" i="13"/>
  <c r="D238" i="13"/>
  <c r="G237" i="13"/>
  <c r="D512" i="20"/>
  <c r="D758" i="13"/>
  <c r="G757" i="13"/>
  <c r="E413" i="13"/>
  <c r="F413" i="13" s="1"/>
  <c r="D414" i="13" s="1"/>
  <c r="E152" i="20"/>
  <c r="F152" i="20" s="1"/>
  <c r="G672" i="13"/>
  <c r="E959" i="20"/>
  <c r="F959" i="20" s="1"/>
  <c r="A207" i="34"/>
  <c r="E244" i="2"/>
  <c r="E773" i="20"/>
  <c r="F773" i="20" s="1"/>
  <c r="E598" i="20"/>
  <c r="F598" i="20" s="1"/>
  <c r="D599" i="20" s="1"/>
  <c r="G412" i="13"/>
  <c r="E331" i="20"/>
  <c r="F331" i="20" s="1"/>
  <c r="E673" i="13"/>
  <c r="F673" i="13" s="1"/>
  <c r="D674" i="13" s="1"/>
  <c r="E242" i="20"/>
  <c r="F242" i="20" s="1"/>
  <c r="E499" i="13"/>
  <c r="F499" i="13" s="1"/>
  <c r="E424" i="20" l="1"/>
  <c r="F424" i="20" s="1"/>
  <c r="D774" i="20"/>
  <c r="E774" i="20" s="1"/>
  <c r="F774" i="20" s="1"/>
  <c r="D500" i="13"/>
  <c r="E500" i="13" s="1"/>
  <c r="F500" i="13" s="1"/>
  <c r="G499" i="13"/>
  <c r="D243" i="20"/>
  <c r="D960" i="20"/>
  <c r="D153" i="20"/>
  <c r="D332" i="20"/>
  <c r="E871" i="20"/>
  <c r="F871" i="20" s="1"/>
  <c r="E599" i="20"/>
  <c r="F599" i="20" s="1"/>
  <c r="E758" i="13"/>
  <c r="F758" i="13" s="1"/>
  <c r="D759" i="13" s="1"/>
  <c r="G673" i="13"/>
  <c r="A208" i="34"/>
  <c r="E245" i="2"/>
  <c r="G413" i="13"/>
  <c r="E238" i="13"/>
  <c r="F238" i="13" s="1"/>
  <c r="E848" i="13"/>
  <c r="F848" i="13" s="1"/>
  <c r="E322" i="13"/>
  <c r="F322" i="13" s="1"/>
  <c r="E688" i="20"/>
  <c r="F688" i="20" s="1"/>
  <c r="E414" i="13"/>
  <c r="F414" i="13" s="1"/>
  <c r="E674" i="13"/>
  <c r="F674" i="13" s="1"/>
  <c r="D675" i="13" s="1"/>
  <c r="E512" i="20"/>
  <c r="F512" i="20" s="1"/>
  <c r="E583" i="13"/>
  <c r="F583" i="13" s="1"/>
  <c r="D584" i="13" s="1"/>
  <c r="E933" i="13"/>
  <c r="F933" i="13" s="1"/>
  <c r="E151" i="13"/>
  <c r="F151" i="13" s="1"/>
  <c r="D152" i="13" s="1"/>
  <c r="D513" i="20" l="1"/>
  <c r="D425" i="20"/>
  <c r="D323" i="13"/>
  <c r="G322" i="13"/>
  <c r="D872" i="20"/>
  <c r="E872" i="20" s="1"/>
  <c r="F872" i="20" s="1"/>
  <c r="D689" i="20"/>
  <c r="E689" i="20" s="1"/>
  <c r="F689" i="20" s="1"/>
  <c r="D600" i="20"/>
  <c r="E600" i="20" s="1"/>
  <c r="F600" i="20" s="1"/>
  <c r="D601" i="20" s="1"/>
  <c r="G674" i="13"/>
  <c r="G758" i="13"/>
  <c r="D934" i="13"/>
  <c r="G933" i="13"/>
  <c r="D239" i="13"/>
  <c r="G238" i="13"/>
  <c r="D849" i="13"/>
  <c r="G848" i="13"/>
  <c r="D415" i="13"/>
  <c r="G414" i="13"/>
  <c r="D775" i="20"/>
  <c r="D501" i="13"/>
  <c r="G500" i="13"/>
  <c r="E960" i="20"/>
  <c r="F960" i="20" s="1"/>
  <c r="G583" i="13"/>
  <c r="E675" i="13"/>
  <c r="F675" i="13" s="1"/>
  <c r="E153" i="20"/>
  <c r="F153" i="20" s="1"/>
  <c r="E152" i="13"/>
  <c r="F152" i="13" s="1"/>
  <c r="E513" i="20"/>
  <c r="F513" i="20" s="1"/>
  <c r="E323" i="13"/>
  <c r="F323" i="13" s="1"/>
  <c r="D324" i="13" s="1"/>
  <c r="E759" i="13"/>
  <c r="F759" i="13" s="1"/>
  <c r="E332" i="20"/>
  <c r="F332" i="20" s="1"/>
  <c r="D333" i="20" s="1"/>
  <c r="E584" i="13"/>
  <c r="F584" i="13" s="1"/>
  <c r="D585" i="13" s="1"/>
  <c r="G151" i="13"/>
  <c r="A209" i="34"/>
  <c r="E246" i="2"/>
  <c r="E243" i="20"/>
  <c r="F243" i="20" s="1"/>
  <c r="E425" i="20" l="1"/>
  <c r="F425" i="20" s="1"/>
  <c r="G584" i="13"/>
  <c r="D760" i="13"/>
  <c r="E760" i="13" s="1"/>
  <c r="F760" i="13" s="1"/>
  <c r="G759" i="13"/>
  <c r="D873" i="20"/>
  <c r="D154" i="20"/>
  <c r="D961" i="20"/>
  <c r="D676" i="13"/>
  <c r="G675" i="13"/>
  <c r="D244" i="20"/>
  <c r="D514" i="20"/>
  <c r="D690" i="20"/>
  <c r="D153" i="13"/>
  <c r="G152" i="13"/>
  <c r="E333" i="20"/>
  <c r="F333" i="20" s="1"/>
  <c r="D334" i="20" s="1"/>
  <c r="E501" i="13"/>
  <c r="F501" i="13" s="1"/>
  <c r="D502" i="13" s="1"/>
  <c r="A210" i="34"/>
  <c r="E247" i="2"/>
  <c r="E415" i="13"/>
  <c r="F415" i="13" s="1"/>
  <c r="D416" i="13" s="1"/>
  <c r="E239" i="13"/>
  <c r="F239" i="13" s="1"/>
  <c r="D240" i="13" s="1"/>
  <c r="E601" i="20"/>
  <c r="F601" i="20" s="1"/>
  <c r="D602" i="20" s="1"/>
  <c r="E324" i="13"/>
  <c r="F324" i="13" s="1"/>
  <c r="D325" i="13" s="1"/>
  <c r="E585" i="13"/>
  <c r="F585" i="13" s="1"/>
  <c r="G323" i="13"/>
  <c r="E775" i="20"/>
  <c r="F775" i="20" s="1"/>
  <c r="E849" i="13"/>
  <c r="F849" i="13" s="1"/>
  <c r="E934" i="13"/>
  <c r="F934" i="13" s="1"/>
  <c r="D935" i="13" s="1"/>
  <c r="D426" i="20" l="1"/>
  <c r="D586" i="13"/>
  <c r="E586" i="13" s="1"/>
  <c r="F586" i="13" s="1"/>
  <c r="G585" i="13"/>
  <c r="D776" i="20"/>
  <c r="E776" i="20" s="1"/>
  <c r="F776" i="20" s="1"/>
  <c r="D850" i="13"/>
  <c r="G849" i="13"/>
  <c r="G239" i="13"/>
  <c r="G501" i="13"/>
  <c r="D761" i="13"/>
  <c r="G760" i="13"/>
  <c r="E935" i="13"/>
  <c r="F935" i="13" s="1"/>
  <c r="E416" i="13"/>
  <c r="F416" i="13" s="1"/>
  <c r="A213" i="34"/>
  <c r="B215" i="34"/>
  <c r="E334" i="20"/>
  <c r="F334" i="20" s="1"/>
  <c r="E244" i="20"/>
  <c r="F244" i="20" s="1"/>
  <c r="E154" i="20"/>
  <c r="F154" i="20" s="1"/>
  <c r="E850" i="13"/>
  <c r="F850" i="13" s="1"/>
  <c r="G324" i="13"/>
  <c r="G934" i="13"/>
  <c r="E240" i="13"/>
  <c r="F240" i="13" s="1"/>
  <c r="G415" i="13"/>
  <c r="E502" i="13"/>
  <c r="F502" i="13" s="1"/>
  <c r="E514" i="20"/>
  <c r="F514" i="20" s="1"/>
  <c r="D515" i="20" s="1"/>
  <c r="E961" i="20"/>
  <c r="F961" i="20" s="1"/>
  <c r="E690" i="20"/>
  <c r="F690" i="20" s="1"/>
  <c r="E676" i="13"/>
  <c r="F676" i="13" s="1"/>
  <c r="D677" i="13" s="1"/>
  <c r="E325" i="13"/>
  <c r="F325" i="13" s="1"/>
  <c r="D326" i="13" s="1"/>
  <c r="E602" i="20"/>
  <c r="F602" i="20" s="1"/>
  <c r="E153" i="13"/>
  <c r="F153" i="13" s="1"/>
  <c r="E873" i="20"/>
  <c r="F873" i="20" s="1"/>
  <c r="D874" i="20" s="1"/>
  <c r="E426" i="20" l="1"/>
  <c r="F426" i="20" s="1"/>
  <c r="D427" i="20" s="1"/>
  <c r="D936" i="13"/>
  <c r="E936" i="13" s="1"/>
  <c r="F936" i="13" s="1"/>
  <c r="G935" i="13"/>
  <c r="D154" i="13"/>
  <c r="E154" i="13" s="1"/>
  <c r="F154" i="13" s="1"/>
  <c r="G153" i="13"/>
  <c r="D335" i="20"/>
  <c r="E335" i="20" s="1"/>
  <c r="F335" i="20" s="1"/>
  <c r="D777" i="20"/>
  <c r="D245" i="20"/>
  <c r="D155" i="20"/>
  <c r="D691" i="20"/>
  <c r="D962" i="20"/>
  <c r="D241" i="13"/>
  <c r="G240" i="13"/>
  <c r="D587" i="13"/>
  <c r="G586" i="13"/>
  <c r="D603" i="20"/>
  <c r="D503" i="13"/>
  <c r="G502" i="13"/>
  <c r="D851" i="13"/>
  <c r="G850" i="13"/>
  <c r="D417" i="13"/>
  <c r="G416" i="13"/>
  <c r="E874" i="20"/>
  <c r="E875" i="20" s="1"/>
  <c r="E677" i="13"/>
  <c r="F677" i="13" s="1"/>
  <c r="D678" i="13" s="1"/>
  <c r="D251" i="2"/>
  <c r="A214" i="34"/>
  <c r="E515" i="20"/>
  <c r="F515" i="20" s="1"/>
  <c r="D516" i="20" s="1"/>
  <c r="E326" i="13"/>
  <c r="F326" i="13" s="1"/>
  <c r="D327" i="13" s="1"/>
  <c r="G325" i="13"/>
  <c r="G676" i="13"/>
  <c r="E761" i="13"/>
  <c r="F761" i="13" s="1"/>
  <c r="E427" i="20" l="1"/>
  <c r="F427" i="20" s="1"/>
  <c r="D428" i="20" s="1"/>
  <c r="E428" i="20" s="1"/>
  <c r="E429" i="20" s="1"/>
  <c r="D336" i="20"/>
  <c r="E336" i="20" s="1"/>
  <c r="G677" i="13"/>
  <c r="D155" i="13"/>
  <c r="G154" i="13"/>
  <c r="D937" i="13"/>
  <c r="G936" i="13"/>
  <c r="D762" i="13"/>
  <c r="G761" i="13"/>
  <c r="G326" i="13"/>
  <c r="E603" i="20"/>
  <c r="F603" i="20" s="1"/>
  <c r="E241" i="13"/>
  <c r="F241" i="13" s="1"/>
  <c r="E245" i="20"/>
  <c r="F245" i="20" s="1"/>
  <c r="E516" i="20"/>
  <c r="F516" i="20" s="1"/>
  <c r="E678" i="13"/>
  <c r="F678" i="13" s="1"/>
  <c r="D679" i="13" s="1"/>
  <c r="E417" i="13"/>
  <c r="F417" i="13" s="1"/>
  <c r="D418" i="13" s="1"/>
  <c r="E503" i="13"/>
  <c r="F503" i="13" s="1"/>
  <c r="D504" i="13" s="1"/>
  <c r="E155" i="20"/>
  <c r="F155" i="20" s="1"/>
  <c r="E327" i="13"/>
  <c r="F327" i="13" s="1"/>
  <c r="D252" i="2"/>
  <c r="A215" i="34"/>
  <c r="E587" i="13"/>
  <c r="F587" i="13" s="1"/>
  <c r="D588" i="13" s="1"/>
  <c r="E691" i="20"/>
  <c r="F691" i="20" s="1"/>
  <c r="F874" i="20"/>
  <c r="E851" i="13"/>
  <c r="F851" i="13" s="1"/>
  <c r="E962" i="20"/>
  <c r="F962" i="20" s="1"/>
  <c r="D963" i="20" s="1"/>
  <c r="E777" i="20"/>
  <c r="F777" i="20" s="1"/>
  <c r="F428" i="20" l="1"/>
  <c r="F336" i="20"/>
  <c r="D337" i="20" s="1"/>
  <c r="E337" i="20" s="1"/>
  <c r="F337" i="20" s="1"/>
  <c r="D692" i="20"/>
  <c r="E692" i="20" s="1"/>
  <c r="F692" i="20" s="1"/>
  <c r="D693" i="20" s="1"/>
  <c r="D156" i="20"/>
  <c r="E156" i="20" s="1"/>
  <c r="F156" i="20" s="1"/>
  <c r="G417" i="13"/>
  <c r="G587" i="13"/>
  <c r="D778" i="20"/>
  <c r="D246" i="20"/>
  <c r="D852" i="13"/>
  <c r="G851" i="13"/>
  <c r="D242" i="13"/>
  <c r="G241" i="13"/>
  <c r="D517" i="20"/>
  <c r="D328" i="13"/>
  <c r="G327" i="13"/>
  <c r="D604" i="20"/>
  <c r="D253" i="2"/>
  <c r="A216" i="34"/>
  <c r="B220" i="34" s="1"/>
  <c r="E504" i="13"/>
  <c r="F504" i="13" s="1"/>
  <c r="E679" i="13"/>
  <c r="F679" i="13" s="1"/>
  <c r="E963" i="20"/>
  <c r="F963" i="20" s="1"/>
  <c r="D964" i="20" s="1"/>
  <c r="E588" i="13"/>
  <c r="F588" i="13" s="1"/>
  <c r="E418" i="13"/>
  <c r="F418" i="13" s="1"/>
  <c r="E937" i="13"/>
  <c r="F937" i="13" s="1"/>
  <c r="G678" i="13"/>
  <c r="G503" i="13"/>
  <c r="E762" i="13"/>
  <c r="F762" i="13" s="1"/>
  <c r="E155" i="13"/>
  <c r="F155" i="13" s="1"/>
  <c r="D156" i="13" s="1"/>
  <c r="D763" i="13" l="1"/>
  <c r="E763" i="13" s="1"/>
  <c r="G762" i="13"/>
  <c r="D157" i="20"/>
  <c r="D589" i="13"/>
  <c r="G588" i="13"/>
  <c r="D338" i="20"/>
  <c r="D938" i="13"/>
  <c r="G937" i="13"/>
  <c r="D680" i="13"/>
  <c r="G679" i="13"/>
  <c r="D419" i="13"/>
  <c r="G418" i="13"/>
  <c r="D505" i="13"/>
  <c r="G504" i="13"/>
  <c r="G155" i="13"/>
  <c r="E604" i="20"/>
  <c r="F604" i="20" s="1"/>
  <c r="E246" i="20"/>
  <c r="F246" i="20" s="1"/>
  <c r="E517" i="20"/>
  <c r="F517" i="20" s="1"/>
  <c r="E852" i="13"/>
  <c r="F852" i="13" s="1"/>
  <c r="E156" i="13"/>
  <c r="F156" i="13" s="1"/>
  <c r="E693" i="20"/>
  <c r="F693" i="20" s="1"/>
  <c r="E964" i="20"/>
  <c r="F964" i="20" s="1"/>
  <c r="D254" i="2"/>
  <c r="A218" i="34"/>
  <c r="B218" i="34"/>
  <c r="B219" i="34"/>
  <c r="E328" i="13"/>
  <c r="F328" i="13" s="1"/>
  <c r="D329" i="13" s="1"/>
  <c r="E242" i="13"/>
  <c r="F242" i="13" s="1"/>
  <c r="D243" i="13" s="1"/>
  <c r="E778" i="20"/>
  <c r="F778" i="20" s="1"/>
  <c r="F763" i="13" l="1"/>
  <c r="D764" i="13" s="1"/>
  <c r="E764" i="13" s="1"/>
  <c r="F764" i="13" s="1"/>
  <c r="D157" i="13"/>
  <c r="G156" i="13"/>
  <c r="D853" i="13"/>
  <c r="G852" i="13"/>
  <c r="D965" i="20"/>
  <c r="D518" i="20"/>
  <c r="D605" i="20"/>
  <c r="D779" i="20"/>
  <c r="D694" i="20"/>
  <c r="D247" i="20"/>
  <c r="E243" i="13"/>
  <c r="F243" i="13" s="1"/>
  <c r="E329" i="13"/>
  <c r="F329" i="13" s="1"/>
  <c r="D330" i="13" s="1"/>
  <c r="E589" i="13"/>
  <c r="F589" i="13" s="1"/>
  <c r="G242" i="13"/>
  <c r="A219" i="34"/>
  <c r="E505" i="13"/>
  <c r="F505" i="13" s="1"/>
  <c r="D506" i="13" s="1"/>
  <c r="E680" i="13"/>
  <c r="F680" i="13" s="1"/>
  <c r="D681" i="13" s="1"/>
  <c r="G328" i="13"/>
  <c r="E338" i="20"/>
  <c r="F338" i="20" s="1"/>
  <c r="G763" i="13"/>
  <c r="E419" i="13"/>
  <c r="F419" i="13" s="1"/>
  <c r="E938" i="13"/>
  <c r="F938" i="13" s="1"/>
  <c r="E157" i="20"/>
  <c r="F157" i="20" s="1"/>
  <c r="D339" i="20" l="1"/>
  <c r="E339" i="20" s="1"/>
  <c r="E340" i="20" s="1"/>
  <c r="D158" i="20"/>
  <c r="D420" i="13"/>
  <c r="E420" i="13" s="1"/>
  <c r="E421" i="13" s="1"/>
  <c r="G419" i="13"/>
  <c r="D765" i="13"/>
  <c r="G764" i="13"/>
  <c r="D590" i="13"/>
  <c r="G589" i="13"/>
  <c r="D244" i="13"/>
  <c r="G243" i="13"/>
  <c r="D939" i="13"/>
  <c r="G938" i="13"/>
  <c r="E330" i="13"/>
  <c r="F330" i="13" s="1"/>
  <c r="E779" i="20"/>
  <c r="F779" i="20" s="1"/>
  <c r="G680" i="13"/>
  <c r="E694" i="20"/>
  <c r="F694" i="20" s="1"/>
  <c r="E965" i="20"/>
  <c r="E966" i="20" s="1"/>
  <c r="E157" i="13"/>
  <c r="F157" i="13" s="1"/>
  <c r="E247" i="20"/>
  <c r="F247" i="20" s="1"/>
  <c r="E518" i="20"/>
  <c r="E519" i="20" s="1"/>
  <c r="E506" i="13"/>
  <c r="F506" i="13" s="1"/>
  <c r="E605" i="20"/>
  <c r="F605" i="20" s="1"/>
  <c r="E853" i="13"/>
  <c r="F853" i="13" s="1"/>
  <c r="E681" i="13"/>
  <c r="E682" i="13" s="1"/>
  <c r="G505" i="13"/>
  <c r="G329" i="13"/>
  <c r="A220" i="34"/>
  <c r="F681" i="13" l="1"/>
  <c r="G681" i="13" s="1"/>
  <c r="D695" i="20"/>
  <c r="E695" i="20" s="1"/>
  <c r="F695" i="20" s="1"/>
  <c r="D696" i="20" s="1"/>
  <c r="D158" i="13"/>
  <c r="E158" i="13" s="1"/>
  <c r="F158" i="13" s="1"/>
  <c r="G157" i="13"/>
  <c r="D248" i="20"/>
  <c r="D507" i="13"/>
  <c r="E507" i="13" s="1"/>
  <c r="E508" i="13" s="1"/>
  <c r="G506" i="13"/>
  <c r="E158" i="20"/>
  <c r="F158" i="20" s="1"/>
  <c r="F518" i="20"/>
  <c r="D854" i="13"/>
  <c r="G853" i="13"/>
  <c r="D606" i="20"/>
  <c r="D331" i="13"/>
  <c r="G330" i="13"/>
  <c r="D780" i="20"/>
  <c r="E939" i="13"/>
  <c r="F939" i="13" s="1"/>
  <c r="D940" i="13" s="1"/>
  <c r="E590" i="13"/>
  <c r="F590" i="13" s="1"/>
  <c r="D591" i="13" s="1"/>
  <c r="A222" i="34"/>
  <c r="A224" i="34" s="1"/>
  <c r="A225" i="34" s="1"/>
  <c r="A226" i="34" s="1"/>
  <c r="A229" i="34" s="1"/>
  <c r="F965" i="20"/>
  <c r="F420" i="13"/>
  <c r="G420" i="13" s="1"/>
  <c r="E248" i="20"/>
  <c r="F248" i="20" s="1"/>
  <c r="F339" i="20"/>
  <c r="E244" i="13"/>
  <c r="F244" i="13" s="1"/>
  <c r="D245" i="13" s="1"/>
  <c r="E765" i="13"/>
  <c r="F765" i="13" s="1"/>
  <c r="D249" i="20" l="1"/>
  <c r="E249" i="20" s="1"/>
  <c r="F249" i="20" s="1"/>
  <c r="D766" i="13"/>
  <c r="E766" i="13" s="1"/>
  <c r="F766" i="13" s="1"/>
  <c r="D767" i="13" s="1"/>
  <c r="G765" i="13"/>
  <c r="D159" i="20"/>
  <c r="E159" i="20" s="1"/>
  <c r="F159" i="20" s="1"/>
  <c r="D160" i="20" s="1"/>
  <c r="D159" i="13"/>
  <c r="G158" i="13"/>
  <c r="E245" i="13"/>
  <c r="F245" i="13" s="1"/>
  <c r="E696" i="20"/>
  <c r="E697" i="20" s="1"/>
  <c r="E591" i="13"/>
  <c r="F591" i="13" s="1"/>
  <c r="D592" i="13" s="1"/>
  <c r="F507" i="13"/>
  <c r="G507" i="13" s="1"/>
  <c r="G590" i="13"/>
  <c r="G939" i="13"/>
  <c r="E331" i="13"/>
  <c r="F331" i="13" s="1"/>
  <c r="D332" i="13" s="1"/>
  <c r="E940" i="13"/>
  <c r="F940" i="13" s="1"/>
  <c r="D941" i="13" s="1"/>
  <c r="E854" i="13"/>
  <c r="F854" i="13" s="1"/>
  <c r="G244" i="13"/>
  <c r="A230" i="34"/>
  <c r="B234" i="34"/>
  <c r="E780" i="20"/>
  <c r="F780" i="20" s="1"/>
  <c r="D781" i="20" s="1"/>
  <c r="E606" i="20"/>
  <c r="F606" i="20" s="1"/>
  <c r="D607" i="20" s="1"/>
  <c r="G766" i="13" l="1"/>
  <c r="D250" i="20"/>
  <c r="D855" i="13"/>
  <c r="G854" i="13"/>
  <c r="D246" i="13"/>
  <c r="G245" i="13"/>
  <c r="E607" i="20"/>
  <c r="E608" i="20" s="1"/>
  <c r="E781" i="20"/>
  <c r="F781" i="20" s="1"/>
  <c r="D782" i="20" s="1"/>
  <c r="E941" i="13"/>
  <c r="F941" i="13" s="1"/>
  <c r="E767" i="13"/>
  <c r="F767" i="13" s="1"/>
  <c r="G940" i="13"/>
  <c r="G591" i="13"/>
  <c r="F696" i="20"/>
  <c r="E159" i="13"/>
  <c r="E160" i="13" s="1"/>
  <c r="A231" i="34"/>
  <c r="B235" i="34"/>
  <c r="G331" i="13"/>
  <c r="E592" i="13"/>
  <c r="F592" i="13" s="1"/>
  <c r="D593" i="13" s="1"/>
  <c r="E160" i="20"/>
  <c r="E161" i="20" s="1"/>
  <c r="E332" i="13"/>
  <c r="F332" i="13" s="1"/>
  <c r="D333" i="13" s="1"/>
  <c r="F160" i="20" l="1"/>
  <c r="F607" i="20"/>
  <c r="D942" i="13"/>
  <c r="G941" i="13"/>
  <c r="D768" i="13"/>
  <c r="G767" i="13"/>
  <c r="E333" i="13"/>
  <c r="E334" i="13" s="1"/>
  <c r="E782" i="20"/>
  <c r="F782" i="20" s="1"/>
  <c r="G332" i="13"/>
  <c r="E593" i="13"/>
  <c r="F593" i="13" s="1"/>
  <c r="A234" i="34"/>
  <c r="A235" i="34" s="1"/>
  <c r="A236" i="34" s="1"/>
  <c r="A237" i="34" s="1"/>
  <c r="B236" i="34"/>
  <c r="G592" i="13"/>
  <c r="F159" i="13"/>
  <c r="G159" i="13" s="1"/>
  <c r="E246" i="13"/>
  <c r="E247" i="13" s="1"/>
  <c r="E855" i="13"/>
  <c r="E856" i="13" s="1"/>
  <c r="E250" i="20"/>
  <c r="E251" i="20" s="1"/>
  <c r="D783" i="20" l="1"/>
  <c r="F246" i="13"/>
  <c r="G246" i="13" s="1"/>
  <c r="F333" i="13"/>
  <c r="G333" i="13" s="1"/>
  <c r="D594" i="13"/>
  <c r="G593" i="13"/>
  <c r="F250" i="20"/>
  <c r="F855" i="13"/>
  <c r="G855" i="13" s="1"/>
  <c r="E783" i="20"/>
  <c r="E768" i="13"/>
  <c r="E769" i="13" s="1"/>
  <c r="E942" i="13"/>
  <c r="E943" i="13" s="1"/>
  <c r="F783" i="20" l="1"/>
  <c r="D784" i="20" s="1"/>
  <c r="E784" i="20" s="1"/>
  <c r="F784" i="20" s="1"/>
  <c r="F942" i="13"/>
  <c r="G942" i="13" s="1"/>
  <c r="F768" i="13"/>
  <c r="G768" i="13" s="1"/>
  <c r="E594" i="13"/>
  <c r="E595" i="13" s="1"/>
  <c r="F594" i="13" l="1"/>
  <c r="G594" i="13" s="1"/>
  <c r="D785" i="20"/>
  <c r="E785" i="20" l="1"/>
  <c r="E786" i="20" s="1"/>
  <c r="F785" i="20" l="1"/>
  <c r="D26" i="37" l="1"/>
  <c r="J26" i="37"/>
  <c r="J35" i="37" s="1"/>
  <c r="R35" i="37"/>
  <c r="E41" i="5" l="1"/>
  <c r="I41" i="5" s="1"/>
  <c r="F27" i="37"/>
  <c r="E43" i="5"/>
  <c r="I43" i="5" s="1"/>
  <c r="G26" i="37"/>
  <c r="D27" i="37" l="1"/>
  <c r="F35" i="37"/>
  <c r="G89" i="2"/>
  <c r="G91" i="2" s="1"/>
  <c r="G112" i="2" s="1"/>
  <c r="G183" i="2" s="1"/>
  <c r="I44" i="5"/>
  <c r="L89" i="2" s="1"/>
  <c r="E44" i="5"/>
  <c r="L91" i="2" l="1"/>
  <c r="L112" i="2" s="1"/>
  <c r="E28" i="13" s="1"/>
  <c r="E30" i="13" s="1"/>
  <c r="G177" i="2"/>
  <c r="G181" i="2" s="1"/>
  <c r="G191" i="2" s="1"/>
  <c r="G27" i="37"/>
  <c r="G35" i="37" s="1"/>
  <c r="D35" i="37"/>
  <c r="F28" i="20" l="1"/>
  <c r="F30" i="20" s="1"/>
  <c r="L183" i="2"/>
  <c r="F49" i="13" s="1"/>
  <c r="E34" i="13"/>
  <c r="E36" i="13" s="1"/>
  <c r="E40" i="13" s="1"/>
  <c r="F57" i="13" s="1"/>
  <c r="F56" i="13"/>
  <c r="F34" i="20"/>
  <c r="F36" i="20" s="1"/>
  <c r="F40" i="20" s="1"/>
  <c r="G56" i="20"/>
  <c r="G49" i="20" l="1"/>
  <c r="L177" i="2"/>
  <c r="G57" i="20"/>
  <c r="G50" i="20"/>
  <c r="L181" i="2" l="1"/>
  <c r="F50" i="13" l="1"/>
  <c r="L191" i="2"/>
  <c r="L13" i="2" s="1"/>
  <c r="L27" i="2" l="1"/>
  <c r="F47" i="13"/>
  <c r="F51" i="13" s="1"/>
  <c r="F55" i="13" s="1"/>
  <c r="F58" i="13" s="1"/>
  <c r="L31" i="2"/>
  <c r="L18" i="2"/>
  <c r="G47" i="20"/>
  <c r="G51" i="20" s="1"/>
  <c r="G55" i="20" s="1"/>
  <c r="G58" i="20" s="1"/>
  <c r="L34" i="2"/>
  <c r="F70" i="13" l="1"/>
  <c r="G70" i="20"/>
  <c r="F65" i="13"/>
  <c r="F66" i="13" s="1"/>
  <c r="F60" i="13"/>
  <c r="F68" i="13" s="1"/>
  <c r="F69" i="13" s="1"/>
  <c r="G60" i="20"/>
  <c r="G68" i="20" s="1"/>
  <c r="G69" i="20" s="1"/>
  <c r="G65" i="20"/>
  <c r="G66" i="20" s="1"/>
  <c r="L28" i="2"/>
  <c r="G71" i="20" l="1"/>
  <c r="I454" i="20"/>
  <c r="I455" i="20" s="1"/>
  <c r="I810" i="20"/>
  <c r="I811" i="20" s="1"/>
  <c r="I901" i="20"/>
  <c r="I902" i="20" s="1"/>
  <c r="I543" i="20"/>
  <c r="I544" i="20" s="1"/>
  <c r="I186" i="20"/>
  <c r="I187" i="20" s="1"/>
  <c r="I721" i="20"/>
  <c r="I722" i="20" s="1"/>
  <c r="I275" i="20"/>
  <c r="I276" i="20" s="1"/>
  <c r="I632" i="20"/>
  <c r="I633" i="20" s="1"/>
  <c r="I96" i="20"/>
  <c r="I364" i="20"/>
  <c r="I365" i="20" s="1"/>
  <c r="J182" i="13"/>
  <c r="J878" i="13"/>
  <c r="J95" i="13"/>
  <c r="J443" i="13"/>
  <c r="J617" i="13"/>
  <c r="J356" i="13"/>
  <c r="J269" i="13"/>
  <c r="J704" i="13"/>
  <c r="J791" i="13"/>
  <c r="J530" i="13"/>
  <c r="F71" i="13"/>
  <c r="J531" i="13" l="1"/>
  <c r="H590" i="13"/>
  <c r="H558" i="13"/>
  <c r="H574" i="13"/>
  <c r="H542" i="13"/>
  <c r="H586" i="13"/>
  <c r="H582" i="13"/>
  <c r="H578" i="13"/>
  <c r="H581" i="13"/>
  <c r="H565" i="13"/>
  <c r="H549" i="13"/>
  <c r="H588" i="13"/>
  <c r="H572" i="13"/>
  <c r="H555" i="13"/>
  <c r="H540" i="13"/>
  <c r="H591" i="13"/>
  <c r="H575" i="13"/>
  <c r="H559" i="13"/>
  <c r="H543" i="13"/>
  <c r="H570" i="13"/>
  <c r="H566" i="13"/>
  <c r="H562" i="13"/>
  <c r="H593" i="13"/>
  <c r="H577" i="13"/>
  <c r="H561" i="13"/>
  <c r="H545" i="13"/>
  <c r="H584" i="13"/>
  <c r="H568" i="13"/>
  <c r="H552" i="13"/>
  <c r="H536" i="13"/>
  <c r="M536" i="13" s="1"/>
  <c r="H587" i="13"/>
  <c r="H571" i="13"/>
  <c r="H556" i="13"/>
  <c r="H539" i="13"/>
  <c r="M539" i="13" s="1"/>
  <c r="H554" i="13"/>
  <c r="H550" i="13"/>
  <c r="H546" i="13"/>
  <c r="H589" i="13"/>
  <c r="H573" i="13"/>
  <c r="H557" i="13"/>
  <c r="H541" i="13"/>
  <c r="H580" i="13"/>
  <c r="H564" i="13"/>
  <c r="H548" i="13"/>
  <c r="H583" i="13"/>
  <c r="H567" i="13"/>
  <c r="H551" i="13"/>
  <c r="H535" i="13"/>
  <c r="H538" i="13"/>
  <c r="M538" i="13" s="1"/>
  <c r="H594" i="13"/>
  <c r="H585" i="13"/>
  <c r="H569" i="13"/>
  <c r="H553" i="13"/>
  <c r="H537" i="13"/>
  <c r="M537" i="13" s="1"/>
  <c r="H592" i="13"/>
  <c r="H576" i="13"/>
  <c r="H560" i="13"/>
  <c r="H544" i="13"/>
  <c r="H579" i="13"/>
  <c r="H563" i="13"/>
  <c r="H547" i="13"/>
  <c r="H364" i="13"/>
  <c r="M364" i="13" s="1"/>
  <c r="H416" i="13"/>
  <c r="H384" i="13"/>
  <c r="H412" i="13"/>
  <c r="H376" i="13"/>
  <c r="H404" i="13"/>
  <c r="H403" i="13"/>
  <c r="H367" i="13"/>
  <c r="M367" i="13" s="1"/>
  <c r="H411" i="13"/>
  <c r="H370" i="13"/>
  <c r="H414" i="13"/>
  <c r="H398" i="13"/>
  <c r="H382" i="13"/>
  <c r="H366" i="13"/>
  <c r="M366" i="13" s="1"/>
  <c r="J357" i="13"/>
  <c r="H413" i="13"/>
  <c r="H397" i="13"/>
  <c r="H381" i="13"/>
  <c r="H365" i="13"/>
  <c r="M365" i="13" s="1"/>
  <c r="H380" i="13"/>
  <c r="H363" i="13"/>
  <c r="M363" i="13" s="1"/>
  <c r="H388" i="13"/>
  <c r="H395" i="13"/>
  <c r="H399" i="13"/>
  <c r="H410" i="13"/>
  <c r="H394" i="13"/>
  <c r="H378" i="13"/>
  <c r="H361" i="13"/>
  <c r="H409" i="13"/>
  <c r="H393" i="13"/>
  <c r="H377" i="13"/>
  <c r="H368" i="13"/>
  <c r="H408" i="13"/>
  <c r="H396" i="13"/>
  <c r="H372" i="13"/>
  <c r="H383" i="13"/>
  <c r="H391" i="13"/>
  <c r="H406" i="13"/>
  <c r="H390" i="13"/>
  <c r="H374" i="13"/>
  <c r="H407" i="13"/>
  <c r="H405" i="13"/>
  <c r="H389" i="13"/>
  <c r="H373" i="13"/>
  <c r="H400" i="13"/>
  <c r="H362" i="13"/>
  <c r="M362" i="13" s="1"/>
  <c r="H392" i="13"/>
  <c r="H420" i="13"/>
  <c r="H415" i="13"/>
  <c r="H375" i="13"/>
  <c r="H419" i="13"/>
  <c r="H379" i="13"/>
  <c r="H418" i="13"/>
  <c r="H402" i="13"/>
  <c r="H386" i="13"/>
  <c r="H371" i="13"/>
  <c r="H387" i="13"/>
  <c r="H417" i="13"/>
  <c r="H401" i="13"/>
  <c r="H385" i="13"/>
  <c r="H369" i="13"/>
  <c r="H884" i="13"/>
  <c r="J879" i="13"/>
  <c r="H901" i="13"/>
  <c r="H917" i="13"/>
  <c r="H933" i="13"/>
  <c r="H929" i="13"/>
  <c r="H925" i="13"/>
  <c r="H921" i="13"/>
  <c r="H916" i="13"/>
  <c r="H887" i="13"/>
  <c r="M887" i="13" s="1"/>
  <c r="H930" i="13"/>
  <c r="H915" i="13"/>
  <c r="H899" i="13"/>
  <c r="H886" i="13"/>
  <c r="M886" i="13" s="1"/>
  <c r="H928" i="13"/>
  <c r="H892" i="13"/>
  <c r="H931" i="13"/>
  <c r="H914" i="13"/>
  <c r="H898" i="13"/>
  <c r="H913" i="13"/>
  <c r="H909" i="13"/>
  <c r="H905" i="13"/>
  <c r="H940" i="13"/>
  <c r="H908" i="13"/>
  <c r="H885" i="13"/>
  <c r="H927" i="13"/>
  <c r="H911" i="13"/>
  <c r="H895" i="13"/>
  <c r="H920" i="13"/>
  <c r="H942" i="13"/>
  <c r="H926" i="13"/>
  <c r="H910" i="13"/>
  <c r="H894" i="13"/>
  <c r="H897" i="13"/>
  <c r="H893" i="13"/>
  <c r="H889" i="13"/>
  <c r="H932" i="13"/>
  <c r="H904" i="13"/>
  <c r="H939" i="13"/>
  <c r="H923" i="13"/>
  <c r="H907" i="13"/>
  <c r="H891" i="13"/>
  <c r="H912" i="13"/>
  <c r="H938" i="13"/>
  <c r="H922" i="13"/>
  <c r="H906" i="13"/>
  <c r="H890" i="13"/>
  <c r="H941" i="13"/>
  <c r="H937" i="13"/>
  <c r="H924" i="13"/>
  <c r="H896" i="13"/>
  <c r="H935" i="13"/>
  <c r="H919" i="13"/>
  <c r="H903" i="13"/>
  <c r="H888" i="13"/>
  <c r="H936" i="13"/>
  <c r="H900" i="13"/>
  <c r="H934" i="13"/>
  <c r="H918" i="13"/>
  <c r="H902" i="13"/>
  <c r="H883" i="13"/>
  <c r="J792" i="13"/>
  <c r="H839" i="13"/>
  <c r="H807" i="13"/>
  <c r="H855" i="13"/>
  <c r="H823" i="13"/>
  <c r="H851" i="13"/>
  <c r="H847" i="13"/>
  <c r="H827" i="13"/>
  <c r="H846" i="13"/>
  <c r="H830" i="13"/>
  <c r="H814" i="13"/>
  <c r="H798" i="13"/>
  <c r="M798" i="13" s="1"/>
  <c r="H853" i="13"/>
  <c r="H837" i="13"/>
  <c r="H821" i="13"/>
  <c r="H805" i="13"/>
  <c r="H844" i="13"/>
  <c r="H828" i="13"/>
  <c r="H812" i="13"/>
  <c r="H835" i="13"/>
  <c r="H831" i="13"/>
  <c r="H811" i="13"/>
  <c r="H842" i="13"/>
  <c r="H826" i="13"/>
  <c r="H810" i="13"/>
  <c r="H849" i="13"/>
  <c r="H833" i="13"/>
  <c r="H817" i="13"/>
  <c r="H801" i="13"/>
  <c r="H840" i="13"/>
  <c r="H824" i="13"/>
  <c r="H808" i="13"/>
  <c r="H819" i="13"/>
  <c r="H815" i="13"/>
  <c r="H797" i="13"/>
  <c r="M797" i="13" s="1"/>
  <c r="H854" i="13"/>
  <c r="H838" i="13"/>
  <c r="H822" i="13"/>
  <c r="H806" i="13"/>
  <c r="H845" i="13"/>
  <c r="H829" i="13"/>
  <c r="H813" i="13"/>
  <c r="H796" i="13"/>
  <c r="H852" i="13"/>
  <c r="H836" i="13"/>
  <c r="H820" i="13"/>
  <c r="H804" i="13"/>
  <c r="H803" i="13"/>
  <c r="H799" i="13"/>
  <c r="M799" i="13" s="1"/>
  <c r="H843" i="13"/>
  <c r="H850" i="13"/>
  <c r="H834" i="13"/>
  <c r="H818" i="13"/>
  <c r="H802" i="13"/>
  <c r="H841" i="13"/>
  <c r="H825" i="13"/>
  <c r="H809" i="13"/>
  <c r="H848" i="13"/>
  <c r="H832" i="13"/>
  <c r="H816" i="13"/>
  <c r="H800" i="13"/>
  <c r="H624" i="13"/>
  <c r="M624" i="13" s="1"/>
  <c r="H627" i="13"/>
  <c r="H663" i="13"/>
  <c r="H639" i="13"/>
  <c r="H651" i="13"/>
  <c r="H655" i="13"/>
  <c r="H643" i="13"/>
  <c r="H635" i="13"/>
  <c r="H675" i="13"/>
  <c r="H631" i="13"/>
  <c r="H671" i="13"/>
  <c r="J618" i="13"/>
  <c r="H679" i="13"/>
  <c r="H647" i="13"/>
  <c r="H659" i="13"/>
  <c r="H667" i="13"/>
  <c r="H670" i="13"/>
  <c r="H654" i="13"/>
  <c r="H638" i="13"/>
  <c r="H623" i="13"/>
  <c r="M623" i="13" s="1"/>
  <c r="H668" i="13"/>
  <c r="H653" i="13"/>
  <c r="H637" i="13"/>
  <c r="H622" i="13"/>
  <c r="H672" i="13"/>
  <c r="H656" i="13"/>
  <c r="H640" i="13"/>
  <c r="H666" i="13"/>
  <c r="H650" i="13"/>
  <c r="H634" i="13"/>
  <c r="H681" i="13"/>
  <c r="H665" i="13"/>
  <c r="H649" i="13"/>
  <c r="H633" i="13"/>
  <c r="H669" i="13"/>
  <c r="H652" i="13"/>
  <c r="H636" i="13"/>
  <c r="H678" i="13"/>
  <c r="H662" i="13"/>
  <c r="H646" i="13"/>
  <c r="H630" i="13"/>
  <c r="H677" i="13"/>
  <c r="H661" i="13"/>
  <c r="H645" i="13"/>
  <c r="H629" i="13"/>
  <c r="H680" i="13"/>
  <c r="H664" i="13"/>
  <c r="H648" i="13"/>
  <c r="H632" i="13"/>
  <c r="H674" i="13"/>
  <c r="H658" i="13"/>
  <c r="H642" i="13"/>
  <c r="H626" i="13"/>
  <c r="M626" i="13" s="1"/>
  <c r="H673" i="13"/>
  <c r="H657" i="13"/>
  <c r="H641" i="13"/>
  <c r="H625" i="13"/>
  <c r="M625" i="13" s="1"/>
  <c r="H676" i="13"/>
  <c r="H660" i="13"/>
  <c r="H644" i="13"/>
  <c r="H628" i="13"/>
  <c r="H187" i="13"/>
  <c r="H191" i="13"/>
  <c r="M191" i="13" s="1"/>
  <c r="H195" i="13"/>
  <c r="H199" i="13"/>
  <c r="H203" i="13"/>
  <c r="H207" i="13"/>
  <c r="H211" i="13"/>
  <c r="H215" i="13"/>
  <c r="H219" i="13"/>
  <c r="H223" i="13"/>
  <c r="H227" i="13"/>
  <c r="H231" i="13"/>
  <c r="H235" i="13"/>
  <c r="H239" i="13"/>
  <c r="H243" i="13"/>
  <c r="H190" i="13"/>
  <c r="M190" i="13" s="1"/>
  <c r="H192" i="13"/>
  <c r="M192" i="13" s="1"/>
  <c r="H196" i="13"/>
  <c r="H200" i="13"/>
  <c r="H204" i="13"/>
  <c r="H208" i="13"/>
  <c r="H213" i="13"/>
  <c r="H216" i="13"/>
  <c r="H220" i="13"/>
  <c r="H224" i="13"/>
  <c r="H228" i="13"/>
  <c r="H232" i="13"/>
  <c r="H236" i="13"/>
  <c r="H240" i="13"/>
  <c r="H244" i="13"/>
  <c r="H188" i="13"/>
  <c r="M188" i="13" s="1"/>
  <c r="H193" i="13"/>
  <c r="M193" i="13" s="1"/>
  <c r="H197" i="13"/>
  <c r="H201" i="13"/>
  <c r="H205" i="13"/>
  <c r="H209" i="13"/>
  <c r="H212" i="13"/>
  <c r="H217" i="13"/>
  <c r="H221" i="13"/>
  <c r="H225" i="13"/>
  <c r="H229" i="13"/>
  <c r="H233" i="13"/>
  <c r="H237" i="13"/>
  <c r="H241" i="13"/>
  <c r="H245" i="13"/>
  <c r="H189" i="13"/>
  <c r="M189" i="13" s="1"/>
  <c r="J183" i="13"/>
  <c r="H194" i="13"/>
  <c r="M194" i="13" s="1"/>
  <c r="H198" i="13"/>
  <c r="H202" i="13"/>
  <c r="H206" i="13"/>
  <c r="H210" i="13"/>
  <c r="H214" i="13"/>
  <c r="H218" i="13"/>
  <c r="H222" i="13"/>
  <c r="H226" i="13"/>
  <c r="H230" i="13"/>
  <c r="H234" i="13"/>
  <c r="H238" i="13"/>
  <c r="H242" i="13"/>
  <c r="H246" i="13"/>
  <c r="H710" i="13"/>
  <c r="M710" i="13" s="1"/>
  <c r="H739" i="13"/>
  <c r="H755" i="13"/>
  <c r="H763" i="13"/>
  <c r="H714" i="13"/>
  <c r="H743" i="13"/>
  <c r="J705" i="13"/>
  <c r="H723" i="13"/>
  <c r="H747" i="13"/>
  <c r="H762" i="13"/>
  <c r="H767" i="13"/>
  <c r="H735" i="13"/>
  <c r="H754" i="13"/>
  <c r="H731" i="13"/>
  <c r="H746" i="13"/>
  <c r="H759" i="13"/>
  <c r="H727" i="13"/>
  <c r="H766" i="13"/>
  <c r="H738" i="13"/>
  <c r="H722" i="13"/>
  <c r="H715" i="13"/>
  <c r="H730" i="13"/>
  <c r="H751" i="13"/>
  <c r="H719" i="13"/>
  <c r="H734" i="13"/>
  <c r="H765" i="13"/>
  <c r="H749" i="13"/>
  <c r="H733" i="13"/>
  <c r="H717" i="13"/>
  <c r="H764" i="13"/>
  <c r="H748" i="13"/>
  <c r="H732" i="13"/>
  <c r="H716" i="13"/>
  <c r="H758" i="13"/>
  <c r="H726" i="13"/>
  <c r="H761" i="13"/>
  <c r="H745" i="13"/>
  <c r="H729" i="13"/>
  <c r="H713" i="13"/>
  <c r="M713" i="13" s="1"/>
  <c r="H760" i="13"/>
  <c r="H744" i="13"/>
  <c r="H728" i="13"/>
  <c r="H712" i="13"/>
  <c r="M712" i="13" s="1"/>
  <c r="H750" i="13"/>
  <c r="H718" i="13"/>
  <c r="H757" i="13"/>
  <c r="H741" i="13"/>
  <c r="H725" i="13"/>
  <c r="H709" i="13"/>
  <c r="H756" i="13"/>
  <c r="H740" i="13"/>
  <c r="H724" i="13"/>
  <c r="H742" i="13"/>
  <c r="H711" i="13"/>
  <c r="M711" i="13" s="1"/>
  <c r="H753" i="13"/>
  <c r="H737" i="13"/>
  <c r="H721" i="13"/>
  <c r="H768" i="13"/>
  <c r="H752" i="13"/>
  <c r="H736" i="13"/>
  <c r="H720" i="13"/>
  <c r="H449" i="13"/>
  <c r="M449" i="13" s="1"/>
  <c r="J444" i="13"/>
  <c r="H485" i="13"/>
  <c r="H491" i="13"/>
  <c r="H464" i="13"/>
  <c r="H459" i="13"/>
  <c r="H495" i="13"/>
  <c r="H473" i="13"/>
  <c r="H452" i="13"/>
  <c r="M452" i="13" s="1"/>
  <c r="H488" i="13"/>
  <c r="H467" i="13"/>
  <c r="H497" i="13"/>
  <c r="H476" i="13"/>
  <c r="H455" i="13"/>
  <c r="H494" i="13"/>
  <c r="H478" i="13"/>
  <c r="H462" i="13"/>
  <c r="H469" i="13"/>
  <c r="H496" i="13"/>
  <c r="H489" i="13"/>
  <c r="H468" i="13"/>
  <c r="H451" i="13"/>
  <c r="M451" i="13" s="1"/>
  <c r="H504" i="13"/>
  <c r="H483" i="13"/>
  <c r="H461" i="13"/>
  <c r="H492" i="13"/>
  <c r="H471" i="13"/>
  <c r="H448" i="13"/>
  <c r="H506" i="13"/>
  <c r="H490" i="13"/>
  <c r="H474" i="13"/>
  <c r="H458" i="13"/>
  <c r="H501" i="13"/>
  <c r="H475" i="13"/>
  <c r="H505" i="13"/>
  <c r="H484" i="13"/>
  <c r="H463" i="13"/>
  <c r="H499" i="13"/>
  <c r="H477" i="13"/>
  <c r="H456" i="13"/>
  <c r="H487" i="13"/>
  <c r="H465" i="13"/>
  <c r="H502" i="13"/>
  <c r="H486" i="13"/>
  <c r="H470" i="13"/>
  <c r="H454" i="13"/>
  <c r="H507" i="13"/>
  <c r="H480" i="13"/>
  <c r="H453" i="13"/>
  <c r="H500" i="13"/>
  <c r="H479" i="13"/>
  <c r="H457" i="13"/>
  <c r="H493" i="13"/>
  <c r="H472" i="13"/>
  <c r="H450" i="13"/>
  <c r="M450" i="13" s="1"/>
  <c r="H503" i="13"/>
  <c r="H481" i="13"/>
  <c r="H460" i="13"/>
  <c r="H498" i="13"/>
  <c r="H482" i="13"/>
  <c r="H466" i="13"/>
  <c r="J270" i="13"/>
  <c r="H328" i="13"/>
  <c r="H295" i="13"/>
  <c r="H332" i="13"/>
  <c r="H300" i="13"/>
  <c r="H307" i="13"/>
  <c r="H274" i="13"/>
  <c r="H318" i="13"/>
  <c r="H302" i="13"/>
  <c r="H286" i="13"/>
  <c r="H325" i="13"/>
  <c r="H309" i="13"/>
  <c r="H293" i="13"/>
  <c r="H277" i="13"/>
  <c r="M277" i="13" s="1"/>
  <c r="H304" i="13"/>
  <c r="H303" i="13"/>
  <c r="H319" i="13"/>
  <c r="H312" i="13"/>
  <c r="H279" i="13"/>
  <c r="M279" i="13" s="1"/>
  <c r="H324" i="13"/>
  <c r="H292" i="13"/>
  <c r="H331" i="13"/>
  <c r="H299" i="13"/>
  <c r="H330" i="13"/>
  <c r="H314" i="13"/>
  <c r="H298" i="13"/>
  <c r="H282" i="13"/>
  <c r="H321" i="13"/>
  <c r="H305" i="13"/>
  <c r="H289" i="13"/>
  <c r="H320" i="13"/>
  <c r="H287" i="13"/>
  <c r="H296" i="13"/>
  <c r="H327" i="13"/>
  <c r="H316" i="13"/>
  <c r="H284" i="13"/>
  <c r="H323" i="13"/>
  <c r="H291" i="13"/>
  <c r="H326" i="13"/>
  <c r="H310" i="13"/>
  <c r="H294" i="13"/>
  <c r="H278" i="13"/>
  <c r="M278" i="13" s="1"/>
  <c r="H333" i="13"/>
  <c r="H317" i="13"/>
  <c r="H301" i="13"/>
  <c r="H285" i="13"/>
  <c r="H288" i="13"/>
  <c r="H280" i="13"/>
  <c r="M280" i="13" s="1"/>
  <c r="H311" i="13"/>
  <c r="H308" i="13"/>
  <c r="H275" i="13"/>
  <c r="M275" i="13" s="1"/>
  <c r="H315" i="13"/>
  <c r="H283" i="13"/>
  <c r="H322" i="13"/>
  <c r="H306" i="13"/>
  <c r="H290" i="13"/>
  <c r="H276" i="13"/>
  <c r="M276" i="13" s="1"/>
  <c r="H329" i="13"/>
  <c r="H313" i="13"/>
  <c r="H297" i="13"/>
  <c r="H281" i="13"/>
  <c r="M281" i="13" s="1"/>
  <c r="J96" i="13"/>
  <c r="H126" i="13"/>
  <c r="H142" i="13"/>
  <c r="H158" i="13"/>
  <c r="H110" i="13"/>
  <c r="H138" i="13"/>
  <c r="H134" i="13"/>
  <c r="H130" i="13"/>
  <c r="H141" i="13"/>
  <c r="H117" i="13"/>
  <c r="H103" i="13"/>
  <c r="H144" i="13"/>
  <c r="H128" i="13"/>
  <c r="H112" i="13"/>
  <c r="H121" i="13"/>
  <c r="H159" i="13"/>
  <c r="H143" i="13"/>
  <c r="H127" i="13"/>
  <c r="H111" i="13"/>
  <c r="H122" i="13"/>
  <c r="H118" i="13"/>
  <c r="H114" i="13"/>
  <c r="H133" i="13"/>
  <c r="H113" i="13"/>
  <c r="H156" i="13"/>
  <c r="H140" i="13"/>
  <c r="H124" i="13"/>
  <c r="H108" i="13"/>
  <c r="M108" i="13" s="1"/>
  <c r="H157" i="13"/>
  <c r="H155" i="13"/>
  <c r="H139" i="13"/>
  <c r="H123" i="13"/>
  <c r="H107" i="13"/>
  <c r="M107" i="13" s="1"/>
  <c r="H106" i="13"/>
  <c r="M106" i="13" s="1"/>
  <c r="H100" i="13"/>
  <c r="H153" i="13"/>
  <c r="H129" i="13"/>
  <c r="H109" i="13"/>
  <c r="H152" i="13"/>
  <c r="H136" i="13"/>
  <c r="H120" i="13"/>
  <c r="H104" i="13"/>
  <c r="M104" i="13" s="1"/>
  <c r="H149" i="13"/>
  <c r="H151" i="13"/>
  <c r="H135" i="13"/>
  <c r="H119" i="13"/>
  <c r="H101" i="13"/>
  <c r="H154" i="13"/>
  <c r="H150" i="13"/>
  <c r="H146" i="13"/>
  <c r="H145" i="13"/>
  <c r="H125" i="13"/>
  <c r="H105" i="13"/>
  <c r="M105" i="13" s="1"/>
  <c r="H148" i="13"/>
  <c r="H132" i="13"/>
  <c r="H116" i="13"/>
  <c r="H102" i="13"/>
  <c r="H137" i="13"/>
  <c r="H147" i="13"/>
  <c r="H131" i="13"/>
  <c r="H115" i="13"/>
  <c r="G283" i="20"/>
  <c r="G510" i="20"/>
  <c r="G606" i="20"/>
  <c r="G765" i="20"/>
  <c r="G496" i="20"/>
  <c r="G417" i="20"/>
  <c r="G337" i="20"/>
  <c r="G409" i="20"/>
  <c r="G828" i="20"/>
  <c r="G867" i="20"/>
  <c r="G400" i="20"/>
  <c r="G785" i="20"/>
  <c r="G869" i="20"/>
  <c r="G234" i="20"/>
  <c r="G851" i="20"/>
  <c r="G209" i="20"/>
  <c r="G464" i="20"/>
  <c r="N446" i="20" s="1"/>
  <c r="G689" i="20"/>
  <c r="G236" i="20"/>
  <c r="G581" i="20"/>
  <c r="G123" i="20"/>
  <c r="G732" i="20"/>
  <c r="G778" i="20"/>
  <c r="G960" i="20"/>
  <c r="G684" i="20"/>
  <c r="G679" i="20"/>
  <c r="G585" i="20"/>
  <c r="G494" i="20"/>
  <c r="G222" i="20"/>
  <c r="G747" i="20"/>
  <c r="G384" i="20"/>
  <c r="G375" i="20"/>
  <c r="G965" i="20"/>
  <c r="G333" i="20"/>
  <c r="G868" i="20"/>
  <c r="G768" i="20"/>
  <c r="G233" i="20"/>
  <c r="G406" i="20"/>
  <c r="G282" i="20"/>
  <c r="G330" i="20"/>
  <c r="G500" i="20"/>
  <c r="G653" i="20"/>
  <c r="G216" i="20"/>
  <c r="G855" i="20"/>
  <c r="G424" i="20"/>
  <c r="G943" i="20"/>
  <c r="G460" i="20"/>
  <c r="G951" i="20"/>
  <c r="G929" i="20"/>
  <c r="G247" i="20"/>
  <c r="G240" i="20"/>
  <c r="G586" i="20"/>
  <c r="G132" i="20"/>
  <c r="G740" i="20"/>
  <c r="G784" i="20"/>
  <c r="G958" i="20"/>
  <c r="G322" i="20"/>
  <c r="G579" i="20"/>
  <c r="G477" i="20"/>
  <c r="G819" i="20"/>
  <c r="N802" i="20" s="1"/>
  <c r="G962" i="20"/>
  <c r="G959" i="20"/>
  <c r="G238" i="20"/>
  <c r="G678" i="20"/>
  <c r="G857" i="20"/>
  <c r="G580" i="20"/>
  <c r="G399" i="20"/>
  <c r="G836" i="20"/>
  <c r="G557" i="20"/>
  <c r="G910" i="20"/>
  <c r="G246" i="20"/>
  <c r="G512" i="20"/>
  <c r="G594" i="20"/>
  <c r="G502" i="20"/>
  <c r="G675" i="20"/>
  <c r="G403" i="20"/>
  <c r="G296" i="20"/>
  <c r="G873" i="20"/>
  <c r="G466" i="20"/>
  <c r="G484" i="20"/>
  <c r="G420" i="20"/>
  <c r="G755" i="20"/>
  <c r="G156" i="20"/>
  <c r="G858" i="20"/>
  <c r="G650" i="20"/>
  <c r="G155" i="20"/>
  <c r="G418" i="20"/>
  <c r="G139" i="20"/>
  <c r="G843" i="20"/>
  <c r="G468" i="20"/>
  <c r="G157" i="20"/>
  <c r="G239" i="20"/>
  <c r="G947" i="20"/>
  <c r="G576" i="20"/>
  <c r="G293" i="20"/>
  <c r="G607" i="20"/>
  <c r="G515" i="20"/>
  <c r="G772" i="20"/>
  <c r="G146" i="20"/>
  <c r="G861" i="20"/>
  <c r="G318" i="20"/>
  <c r="G134" i="20"/>
  <c r="G485" i="20"/>
  <c r="G743" i="20"/>
  <c r="G916" i="20"/>
  <c r="G820" i="20"/>
  <c r="G428" i="20"/>
  <c r="G773" i="20"/>
  <c r="G419" i="20"/>
  <c r="G589" i="20"/>
  <c r="G583" i="20"/>
  <c r="G849" i="20"/>
  <c r="G159" i="20"/>
  <c r="G505" i="20"/>
  <c r="G334" i="20"/>
  <c r="G554" i="20"/>
  <c r="G323" i="20"/>
  <c r="G392" i="20"/>
  <c r="G598" i="20"/>
  <c r="G852" i="20"/>
  <c r="G373" i="20"/>
  <c r="G513" i="20"/>
  <c r="G416" i="20"/>
  <c r="G227" i="20"/>
  <c r="G213" i="20"/>
  <c r="G822" i="20"/>
  <c r="G245" i="20"/>
  <c r="G954" i="20"/>
  <c r="G856" i="20"/>
  <c r="G128" i="20"/>
  <c r="G289" i="20"/>
  <c r="G518" i="20"/>
  <c r="G601" i="20"/>
  <c r="G149" i="20"/>
  <c r="G680" i="20"/>
  <c r="G321" i="20"/>
  <c r="G761" i="20"/>
  <c r="G577" i="20"/>
  <c r="G570" i="20"/>
  <c r="G652" i="20"/>
  <c r="G733" i="20"/>
  <c r="G696" i="20"/>
  <c r="G154" i="20"/>
  <c r="G957" i="20"/>
  <c r="G864" i="20"/>
  <c r="G677" i="20"/>
  <c r="G945" i="20"/>
  <c r="G940" i="20"/>
  <c r="G932" i="20"/>
  <c r="G294" i="20"/>
  <c r="G553" i="20"/>
  <c r="N535" i="20" s="1"/>
  <c r="G729" i="20"/>
  <c r="G731" i="20"/>
  <c r="N713" i="20" s="1"/>
  <c r="G552" i="20"/>
  <c r="G641" i="20"/>
  <c r="G912" i="20"/>
  <c r="G378" i="20"/>
  <c r="G201" i="20"/>
  <c r="G737" i="20"/>
  <c r="G921" i="20"/>
  <c r="G385" i="20"/>
  <c r="G741" i="20"/>
  <c r="G926" i="20"/>
  <c r="G835" i="20"/>
  <c r="G479" i="20"/>
  <c r="G568" i="20"/>
  <c r="G304" i="20"/>
  <c r="G841" i="20"/>
  <c r="G486" i="20"/>
  <c r="G220" i="20"/>
  <c r="G666" i="20"/>
  <c r="G312" i="20"/>
  <c r="G637" i="20"/>
  <c r="G107" i="20"/>
  <c r="G550" i="20"/>
  <c r="G643" i="20"/>
  <c r="G110" i="20"/>
  <c r="N88" i="20" s="1"/>
  <c r="G648" i="20"/>
  <c r="G383" i="20"/>
  <c r="G473" i="20"/>
  <c r="G207" i="20"/>
  <c r="G655" i="20"/>
  <c r="G121" i="20"/>
  <c r="G838" i="20"/>
  <c r="G125" i="20"/>
  <c r="G308" i="20"/>
  <c r="G130" i="20"/>
  <c r="G490" i="20"/>
  <c r="G492" i="20"/>
  <c r="G315" i="20"/>
  <c r="G228" i="20"/>
  <c r="G497" i="20"/>
  <c r="G232" i="20"/>
  <c r="G412" i="20"/>
  <c r="G767" i="20"/>
  <c r="G324" i="20"/>
  <c r="G326" i="20"/>
  <c r="G770" i="20"/>
  <c r="G422" i="20"/>
  <c r="G687" i="20"/>
  <c r="G600" i="20"/>
  <c r="G961" i="20"/>
  <c r="G692" i="20"/>
  <c r="G158" i="20"/>
  <c r="G250" i="20"/>
  <c r="G730" i="20"/>
  <c r="G551" i="20"/>
  <c r="G823" i="20"/>
  <c r="G380" i="20"/>
  <c r="G471" i="20"/>
  <c r="G560" i="20"/>
  <c r="G928" i="20"/>
  <c r="G212" i="20"/>
  <c r="G933" i="20"/>
  <c r="G487" i="20"/>
  <c r="G817" i="20"/>
  <c r="G561" i="20"/>
  <c r="G214" i="20"/>
  <c r="G218" i="20"/>
  <c r="G160" i="20"/>
  <c r="G693" i="20"/>
  <c r="G690" i="20"/>
  <c r="G688" i="20"/>
  <c r="G241" i="20"/>
  <c r="G955" i="20"/>
  <c r="G865" i="20"/>
  <c r="G144" i="20"/>
  <c r="G142" i="20"/>
  <c r="G410" i="20"/>
  <c r="G138" i="20"/>
  <c r="G136" i="20"/>
  <c r="G941" i="20"/>
  <c r="G760" i="20"/>
  <c r="G846" i="20"/>
  <c r="G122" i="20"/>
  <c r="G920" i="20"/>
  <c r="G906" i="20"/>
  <c r="G104" i="20"/>
  <c r="G461" i="20"/>
  <c r="G372" i="20"/>
  <c r="G462" i="20"/>
  <c r="G199" i="20"/>
  <c r="N178" i="20" s="1"/>
  <c r="G645" i="20"/>
  <c r="G917" i="20"/>
  <c r="G649" i="20"/>
  <c r="G738" i="20"/>
  <c r="G923" i="20"/>
  <c r="G742" i="20"/>
  <c r="G119" i="20"/>
  <c r="G565" i="20"/>
  <c r="G393" i="20"/>
  <c r="G303" i="20"/>
  <c r="G483" i="20"/>
  <c r="G306" i="20"/>
  <c r="G753" i="20"/>
  <c r="G665" i="20"/>
  <c r="G401" i="20"/>
  <c r="G133" i="20"/>
  <c r="G548" i="20"/>
  <c r="G101" i="20"/>
  <c r="G281" i="20"/>
  <c r="G913" i="20"/>
  <c r="G555" i="20"/>
  <c r="G381" i="20"/>
  <c r="G115" i="20"/>
  <c r="G831" i="20"/>
  <c r="G476" i="20"/>
  <c r="G299" i="20"/>
  <c r="G837" i="20"/>
  <c r="G659" i="20"/>
  <c r="G934" i="20"/>
  <c r="G844" i="20"/>
  <c r="G756" i="20"/>
  <c r="G668" i="20"/>
  <c r="G759" i="20"/>
  <c r="G137" i="20"/>
  <c r="G229" i="20"/>
  <c r="G674" i="20"/>
  <c r="G411" i="20"/>
  <c r="G588" i="20"/>
  <c r="G415" i="20"/>
  <c r="G237" i="20"/>
  <c r="G682" i="20"/>
  <c r="G508" i="20"/>
  <c r="G150" i="20"/>
  <c r="G870" i="20"/>
  <c r="G153" i="20"/>
  <c r="G335" i="20"/>
  <c r="G964" i="20"/>
  <c r="G695" i="20"/>
  <c r="G640" i="20"/>
  <c r="G908" i="20"/>
  <c r="G727" i="20"/>
  <c r="G734" i="20"/>
  <c r="G826" i="20"/>
  <c r="G204" i="20"/>
  <c r="G117" i="20"/>
  <c r="G211" i="20"/>
  <c r="G481" i="20"/>
  <c r="G397" i="20"/>
  <c r="G575" i="20"/>
  <c r="G200" i="20"/>
  <c r="G833" i="20"/>
  <c r="G661" i="20"/>
  <c r="G309" i="20"/>
  <c r="G248" i="20"/>
  <c r="G336" i="20"/>
  <c r="G514" i="20"/>
  <c r="G331" i="20"/>
  <c r="G509" i="20"/>
  <c r="G148" i="20"/>
  <c r="G953" i="20"/>
  <c r="G414" i="20"/>
  <c r="G141" i="20"/>
  <c r="G319" i="20"/>
  <c r="G672" i="20"/>
  <c r="G493" i="20"/>
  <c r="G224" i="20"/>
  <c r="G670" i="20"/>
  <c r="G219" i="20"/>
  <c r="G391" i="20"/>
  <c r="G114" i="20"/>
  <c r="G284" i="20"/>
  <c r="G907" i="20"/>
  <c r="G103" i="20"/>
  <c r="I97" i="20"/>
  <c r="G549" i="20"/>
  <c r="G914" i="20"/>
  <c r="G646" i="20"/>
  <c r="G556" i="20"/>
  <c r="G827" i="20"/>
  <c r="G651" i="20"/>
  <c r="G474" i="20"/>
  <c r="G118" i="20"/>
  <c r="G834" i="20"/>
  <c r="G300" i="20"/>
  <c r="G567" i="20"/>
  <c r="G658" i="20"/>
  <c r="G215" i="20"/>
  <c r="G398" i="20"/>
  <c r="G936" i="20"/>
  <c r="G488" i="20"/>
  <c r="G402" i="20"/>
  <c r="G578" i="20"/>
  <c r="G106" i="20"/>
  <c r="G195" i="20"/>
  <c r="G911" i="20"/>
  <c r="N893" i="20" s="1"/>
  <c r="G377" i="20"/>
  <c r="G379" i="20"/>
  <c r="G919" i="20"/>
  <c r="G829" i="20"/>
  <c r="G295" i="20"/>
  <c r="G563" i="20"/>
  <c r="G745" i="20"/>
  <c r="G394" i="20"/>
  <c r="G750" i="20"/>
  <c r="G662" i="20"/>
  <c r="G937" i="20"/>
  <c r="G489" i="20"/>
  <c r="G758" i="20"/>
  <c r="G226" i="20"/>
  <c r="G853" i="20"/>
  <c r="G673" i="20"/>
  <c r="G763" i="20"/>
  <c r="G948" i="20"/>
  <c r="G413" i="20"/>
  <c r="G590" i="20"/>
  <c r="G591" i="20"/>
  <c r="G327" i="20"/>
  <c r="G685" i="20"/>
  <c r="G686" i="20"/>
  <c r="G599" i="20"/>
  <c r="G775" i="20"/>
  <c r="G603" i="20"/>
  <c r="G517" i="20"/>
  <c r="G249" i="20"/>
  <c r="G197" i="20"/>
  <c r="G728" i="20"/>
  <c r="G376" i="20"/>
  <c r="N356" i="20" s="1"/>
  <c r="G915" i="20"/>
  <c r="G382" i="20"/>
  <c r="G739" i="20"/>
  <c r="G925" i="20"/>
  <c r="G301" i="20"/>
  <c r="G482" i="20"/>
  <c r="G573" i="20"/>
  <c r="G639" i="20"/>
  <c r="G918" i="20"/>
  <c r="G927" i="20"/>
  <c r="G571" i="20"/>
  <c r="G938" i="20"/>
  <c r="G605" i="20"/>
  <c r="G874" i="20"/>
  <c r="G425" i="20"/>
  <c r="G152" i="20"/>
  <c r="G771" i="20"/>
  <c r="G866" i="20"/>
  <c r="G504" i="20"/>
  <c r="G143" i="20"/>
  <c r="G859" i="20"/>
  <c r="G231" i="20"/>
  <c r="G944" i="20"/>
  <c r="G135" i="20"/>
  <c r="G225" i="20"/>
  <c r="G572" i="20"/>
  <c r="G388" i="20"/>
  <c r="G467" i="20"/>
  <c r="G815" i="20"/>
  <c r="G280" i="20"/>
  <c r="G370" i="20"/>
  <c r="G726" i="20"/>
  <c r="G108" i="20"/>
  <c r="G286" i="20"/>
  <c r="G647" i="20"/>
  <c r="G736" i="20"/>
  <c r="G291" i="20"/>
  <c r="G559" i="20"/>
  <c r="G475" i="20"/>
  <c r="G297" i="20"/>
  <c r="G564" i="20"/>
  <c r="G566" i="20"/>
  <c r="G931" i="20"/>
  <c r="G569" i="20"/>
  <c r="G840" i="20"/>
  <c r="G307" i="20"/>
  <c r="G129" i="20"/>
  <c r="G310" i="20"/>
  <c r="G848" i="20"/>
  <c r="G850" i="20"/>
  <c r="G369" i="20"/>
  <c r="G642" i="20"/>
  <c r="N624" i="20" s="1"/>
  <c r="G909" i="20"/>
  <c r="G287" i="20"/>
  <c r="G735" i="20"/>
  <c r="G203" i="20"/>
  <c r="G922" i="20"/>
  <c r="G924" i="20"/>
  <c r="G208" i="20"/>
  <c r="G746" i="20"/>
  <c r="G749" i="20"/>
  <c r="G660" i="20"/>
  <c r="G127" i="20"/>
  <c r="G574" i="20"/>
  <c r="G667" i="20"/>
  <c r="G313" i="20"/>
  <c r="G314" i="20"/>
  <c r="G407" i="20"/>
  <c r="G408" i="20"/>
  <c r="G140" i="20"/>
  <c r="G587" i="20"/>
  <c r="G235" i="20"/>
  <c r="G952" i="20"/>
  <c r="G592" i="20"/>
  <c r="G683" i="20"/>
  <c r="G595" i="20"/>
  <c r="G423" i="20"/>
  <c r="G871" i="20"/>
  <c r="G602" i="20"/>
  <c r="G691" i="20"/>
  <c r="G694" i="20"/>
  <c r="G781" i="20"/>
  <c r="G193" i="20"/>
  <c r="G105" i="20"/>
  <c r="G465" i="20"/>
  <c r="G288" i="20"/>
  <c r="N267" i="20" s="1"/>
  <c r="G470" i="20"/>
  <c r="G830" i="20"/>
  <c r="G744" i="20"/>
  <c r="G930" i="20"/>
  <c r="G395" i="20"/>
  <c r="G663" i="20"/>
  <c r="G463" i="20"/>
  <c r="G116" i="20"/>
  <c r="G390" i="20"/>
  <c r="G217" i="20"/>
  <c r="G783" i="20"/>
  <c r="G338" i="20"/>
  <c r="G777" i="20"/>
  <c r="G243" i="20"/>
  <c r="G151" i="20"/>
  <c r="G421" i="20"/>
  <c r="G769" i="20"/>
  <c r="G503" i="20"/>
  <c r="G766" i="20"/>
  <c r="G320" i="20"/>
  <c r="G762" i="20"/>
  <c r="G316" i="20"/>
  <c r="G669" i="20"/>
  <c r="G664" i="20"/>
  <c r="G305" i="20"/>
  <c r="G210" i="20"/>
  <c r="G832" i="20"/>
  <c r="G290" i="20"/>
  <c r="G644" i="20"/>
  <c r="G821" i="20"/>
  <c r="G782" i="20"/>
  <c r="G604" i="20"/>
  <c r="G426" i="20"/>
  <c r="G872" i="20"/>
  <c r="G511" i="20"/>
  <c r="G328" i="20"/>
  <c r="G506" i="20"/>
  <c r="G863" i="20"/>
  <c r="G949" i="20"/>
  <c r="G499" i="20"/>
  <c r="G230" i="20"/>
  <c r="G854" i="20"/>
  <c r="G942" i="20"/>
  <c r="G939" i="20"/>
  <c r="G752" i="20"/>
  <c r="G302" i="20"/>
  <c r="G298" i="20"/>
  <c r="G472" i="20"/>
  <c r="G112" i="20"/>
  <c r="G194" i="20"/>
  <c r="G192" i="20"/>
  <c r="G311" i="20"/>
  <c r="G754" i="20"/>
  <c r="G839" i="20"/>
  <c r="G120" i="20"/>
  <c r="G386" i="20"/>
  <c r="G113" i="20"/>
  <c r="G198" i="20"/>
  <c r="G191" i="20"/>
  <c r="G780" i="20"/>
  <c r="G963" i="20"/>
  <c r="G776" i="20"/>
  <c r="G774" i="20"/>
  <c r="G596" i="20"/>
  <c r="G593" i="20"/>
  <c r="G681" i="20"/>
  <c r="G862" i="20"/>
  <c r="G860" i="20"/>
  <c r="G584" i="20"/>
  <c r="G582" i="20"/>
  <c r="G671" i="20"/>
  <c r="G491" i="20"/>
  <c r="G221" i="20"/>
  <c r="G751" i="20"/>
  <c r="G480" i="20"/>
  <c r="G562" i="20"/>
  <c r="G292" i="20"/>
  <c r="G824" i="20"/>
  <c r="G638" i="20"/>
  <c r="G374" i="20"/>
  <c r="G847" i="20"/>
  <c r="G842" i="20"/>
  <c r="G748" i="20"/>
  <c r="G389" i="20"/>
  <c r="G205" i="20"/>
  <c r="G825" i="20"/>
  <c r="G371" i="20"/>
  <c r="G816" i="20"/>
  <c r="G339" i="20"/>
  <c r="G427" i="20"/>
  <c r="G244" i="20"/>
  <c r="G242" i="20"/>
  <c r="G956" i="20"/>
  <c r="G507" i="20"/>
  <c r="G325" i="20"/>
  <c r="G950" i="20"/>
  <c r="G676" i="20"/>
  <c r="G498" i="20"/>
  <c r="G317" i="20"/>
  <c r="G405" i="20"/>
  <c r="G223" i="20"/>
  <c r="G845" i="20"/>
  <c r="G396" i="20"/>
  <c r="G656" i="20"/>
  <c r="G387" i="20"/>
  <c r="G469" i="20"/>
  <c r="G109" i="20"/>
  <c r="G818" i="20"/>
  <c r="G131" i="20"/>
  <c r="G126" i="20"/>
  <c r="G657" i="20"/>
  <c r="G654" i="20"/>
  <c r="G558" i="20"/>
  <c r="G111" i="20"/>
  <c r="G102" i="20"/>
  <c r="G459" i="20"/>
  <c r="G779" i="20"/>
  <c r="G516" i="20"/>
  <c r="G332" i="20"/>
  <c r="G597" i="20"/>
  <c r="G329" i="20"/>
  <c r="G147" i="20"/>
  <c r="G145" i="20"/>
  <c r="G501" i="20"/>
  <c r="G764" i="20"/>
  <c r="G946" i="20"/>
  <c r="G495" i="20"/>
  <c r="G404" i="20"/>
  <c r="G757" i="20"/>
  <c r="G935" i="20"/>
  <c r="G124" i="20"/>
  <c r="G478" i="20"/>
  <c r="G206" i="20"/>
  <c r="G202" i="20"/>
  <c r="G285" i="20"/>
  <c r="G196" i="20"/>
  <c r="G429" i="20" l="1"/>
  <c r="H730" i="20"/>
  <c r="I730" i="20" s="1"/>
  <c r="H396" i="20"/>
  <c r="I396" i="20" s="1"/>
  <c r="H338" i="20"/>
  <c r="I338" i="20" s="1"/>
  <c r="H140" i="20"/>
  <c r="I140" i="20" s="1"/>
  <c r="H696" i="20"/>
  <c r="I696" i="20" s="1"/>
  <c r="H673" i="20"/>
  <c r="I673" i="20" s="1"/>
  <c r="H158" i="20"/>
  <c r="I158" i="20" s="1"/>
  <c r="H407" i="20"/>
  <c r="I407" i="20" s="1"/>
  <c r="H911" i="20"/>
  <c r="H463" i="20"/>
  <c r="I463" i="20" s="1"/>
  <c r="H285" i="20"/>
  <c r="I285" i="20" s="1"/>
  <c r="H284" i="20"/>
  <c r="I284" i="20" s="1"/>
  <c r="H913" i="20"/>
  <c r="I913" i="20" s="1"/>
  <c r="H554" i="20"/>
  <c r="I554" i="20" s="1"/>
  <c r="H201" i="20"/>
  <c r="I201" i="20" s="1"/>
  <c r="H737" i="20"/>
  <c r="I737" i="20" s="1"/>
  <c r="H292" i="20"/>
  <c r="I292" i="20" s="1"/>
  <c r="H740" i="20"/>
  <c r="I740" i="20" s="1"/>
  <c r="H295" i="20"/>
  <c r="I295" i="20" s="1"/>
  <c r="H119" i="20"/>
  <c r="I119" i="20" s="1"/>
  <c r="H478" i="20"/>
  <c r="I478" i="20" s="1"/>
  <c r="H301" i="20"/>
  <c r="I301" i="20" s="1"/>
  <c r="H658" i="20"/>
  <c r="I658" i="20" s="1"/>
  <c r="H305" i="20"/>
  <c r="I305" i="20" s="1"/>
  <c r="H934" i="20"/>
  <c r="I934" i="20" s="1"/>
  <c r="H308" i="20"/>
  <c r="I308" i="20" s="1"/>
  <c r="H309" i="20"/>
  <c r="I309" i="20" s="1"/>
  <c r="H939" i="20"/>
  <c r="I939" i="20" s="1"/>
  <c r="H578" i="20"/>
  <c r="I578" i="20" s="1"/>
  <c r="H107" i="20"/>
  <c r="I107" i="20" s="1"/>
  <c r="H729" i="20"/>
  <c r="I729" i="20" s="1"/>
  <c r="H283" i="20"/>
  <c r="I283" i="20" s="1"/>
  <c r="H643" i="20"/>
  <c r="I643" i="20" s="1"/>
  <c r="H109" i="20"/>
  <c r="I109" i="20" s="1"/>
  <c r="H555" i="20"/>
  <c r="I555" i="20" s="1"/>
  <c r="H826" i="20"/>
  <c r="I826" i="20" s="1"/>
  <c r="H827" i="20"/>
  <c r="I827" i="20" s="1"/>
  <c r="H559" i="20"/>
  <c r="I559" i="20" s="1"/>
  <c r="H294" i="20"/>
  <c r="I294" i="20" s="1"/>
  <c r="H561" i="20"/>
  <c r="I561" i="20" s="1"/>
  <c r="H563" i="20"/>
  <c r="I563" i="20" s="1"/>
  <c r="H836" i="20"/>
  <c r="I836" i="20" s="1"/>
  <c r="H480" i="20"/>
  <c r="I480" i="20" s="1"/>
  <c r="H303" i="20"/>
  <c r="I303" i="20" s="1"/>
  <c r="H483" i="20"/>
  <c r="I483" i="20" s="1"/>
  <c r="H217" i="20"/>
  <c r="I217" i="20" s="1"/>
  <c r="H754" i="20"/>
  <c r="I754" i="20" s="1"/>
  <c r="H755" i="20"/>
  <c r="I755" i="20" s="1"/>
  <c r="H848" i="20"/>
  <c r="I848" i="20" s="1"/>
  <c r="H462" i="20"/>
  <c r="I462" i="20" s="1"/>
  <c r="H459" i="20"/>
  <c r="H644" i="20"/>
  <c r="I644" i="20" s="1"/>
  <c r="H289" i="20"/>
  <c r="I289" i="20" s="1"/>
  <c r="H205" i="20"/>
  <c r="I205" i="20" s="1"/>
  <c r="H296" i="20"/>
  <c r="I296" i="20" s="1"/>
  <c r="H745" i="20"/>
  <c r="I745" i="20" s="1"/>
  <c r="H749" i="20"/>
  <c r="I749" i="20" s="1"/>
  <c r="H572" i="20"/>
  <c r="I572" i="20" s="1"/>
  <c r="H488" i="20"/>
  <c r="I488" i="20" s="1"/>
  <c r="H403" i="20"/>
  <c r="I403" i="20" s="1"/>
  <c r="H226" i="20"/>
  <c r="I226" i="20" s="1"/>
  <c r="H581" i="20"/>
  <c r="I581" i="20" s="1"/>
  <c r="H945" i="20"/>
  <c r="I945" i="20" s="1"/>
  <c r="H319" i="20"/>
  <c r="I319" i="20" s="1"/>
  <c r="H859" i="20"/>
  <c r="I859" i="20" s="1"/>
  <c r="H143" i="20"/>
  <c r="I143" i="20" s="1"/>
  <c r="H502" i="20"/>
  <c r="I502" i="20" s="1"/>
  <c r="H203" i="20"/>
  <c r="I203" i="20" s="1"/>
  <c r="H852" i="20"/>
  <c r="I852" i="20" s="1"/>
  <c r="H963" i="20"/>
  <c r="I963" i="20" s="1"/>
  <c r="H850" i="20"/>
  <c r="I850" i="20" s="1"/>
  <c r="H777" i="20"/>
  <c r="I777" i="20" s="1"/>
  <c r="H489" i="20"/>
  <c r="I489" i="20" s="1"/>
  <c r="H335" i="20"/>
  <c r="I335" i="20" s="1"/>
  <c r="H935" i="20"/>
  <c r="I935" i="20" s="1"/>
  <c r="H906" i="20"/>
  <c r="H103" i="20"/>
  <c r="I103" i="20" s="1"/>
  <c r="H815" i="20"/>
  <c r="H375" i="20"/>
  <c r="I375" i="20" s="1"/>
  <c r="H553" i="20"/>
  <c r="H111" i="20"/>
  <c r="I111" i="20" s="1"/>
  <c r="H468" i="20"/>
  <c r="I468" i="20" s="1"/>
  <c r="H290" i="20"/>
  <c r="I290" i="20" s="1"/>
  <c r="H115" i="20"/>
  <c r="I115" i="20" s="1"/>
  <c r="H652" i="20"/>
  <c r="I652" i="20" s="1"/>
  <c r="H653" i="20"/>
  <c r="I653" i="20" s="1"/>
  <c r="H389" i="20"/>
  <c r="I389" i="20" s="1"/>
  <c r="H300" i="20"/>
  <c r="I300" i="20" s="1"/>
  <c r="H747" i="20"/>
  <c r="I747" i="20" s="1"/>
  <c r="H482" i="20"/>
  <c r="I482" i="20" s="1"/>
  <c r="H750" i="20"/>
  <c r="I750" i="20" s="1"/>
  <c r="H127" i="20"/>
  <c r="I127" i="20" s="1"/>
  <c r="H936" i="20"/>
  <c r="I936" i="20" s="1"/>
  <c r="H665" i="20"/>
  <c r="I665" i="20" s="1"/>
  <c r="H402" i="20"/>
  <c r="I402" i="20" s="1"/>
  <c r="H491" i="20"/>
  <c r="I491" i="20" s="1"/>
  <c r="H732" i="20"/>
  <c r="I732" i="20" s="1"/>
  <c r="H196" i="20"/>
  <c r="I196" i="20" s="1"/>
  <c r="H818" i="20"/>
  <c r="I818" i="20" s="1"/>
  <c r="H726" i="20"/>
  <c r="H914" i="20"/>
  <c r="I914" i="20" s="1"/>
  <c r="H467" i="20"/>
  <c r="I467" i="20" s="1"/>
  <c r="H202" i="20"/>
  <c r="I202" i="20" s="1"/>
  <c r="H650" i="20"/>
  <c r="I650" i="20" s="1"/>
  <c r="H739" i="20"/>
  <c r="I739" i="20" s="1"/>
  <c r="H206" i="20"/>
  <c r="I206" i="20" s="1"/>
  <c r="H654" i="20"/>
  <c r="I654" i="20" s="1"/>
  <c r="H390" i="20"/>
  <c r="I390" i="20" s="1"/>
  <c r="H656" i="20"/>
  <c r="I656" i="20" s="1"/>
  <c r="H837" i="20"/>
  <c r="I837" i="20" s="1"/>
  <c r="H304" i="20"/>
  <c r="I304" i="20" s="1"/>
  <c r="H216" i="20"/>
  <c r="I216" i="20" s="1"/>
  <c r="H307" i="20"/>
  <c r="I307" i="20" s="1"/>
  <c r="H399" i="20"/>
  <c r="I399" i="20" s="1"/>
  <c r="H756" i="20"/>
  <c r="I756" i="20" s="1"/>
  <c r="H311" i="20"/>
  <c r="I311" i="20" s="1"/>
  <c r="H816" i="20"/>
  <c r="I816" i="20" s="1"/>
  <c r="H461" i="20"/>
  <c r="I461" i="20" s="1"/>
  <c r="H110" i="20"/>
  <c r="H649" i="20"/>
  <c r="I649" i="20" s="1"/>
  <c r="H473" i="20"/>
  <c r="I473" i="20" s="1"/>
  <c r="H562" i="20"/>
  <c r="I562" i="20" s="1"/>
  <c r="H566" i="20"/>
  <c r="I566" i="20" s="1"/>
  <c r="H214" i="20"/>
  <c r="I214" i="20" s="1"/>
  <c r="H843" i="20"/>
  <c r="I843" i="20" s="1"/>
  <c r="H666" i="20"/>
  <c r="I666" i="20" s="1"/>
  <c r="H225" i="20"/>
  <c r="I225" i="20" s="1"/>
  <c r="H580" i="20"/>
  <c r="I580" i="20" s="1"/>
  <c r="H853" i="20"/>
  <c r="I853" i="20" s="1"/>
  <c r="H318" i="20"/>
  <c r="I318" i="20" s="1"/>
  <c r="H674" i="20"/>
  <c r="I674" i="20" s="1"/>
  <c r="H141" i="20"/>
  <c r="I141" i="20" s="1"/>
  <c r="H501" i="20"/>
  <c r="I501" i="20" s="1"/>
  <c r="H602" i="20"/>
  <c r="I602" i="20" s="1"/>
  <c r="H512" i="20"/>
  <c r="I512" i="20" s="1"/>
  <c r="H930" i="20"/>
  <c r="I930" i="20" s="1"/>
  <c r="H597" i="20"/>
  <c r="I597" i="20" s="1"/>
  <c r="H927" i="20"/>
  <c r="I927" i="20" s="1"/>
  <c r="H595" i="20"/>
  <c r="I595" i="20" s="1"/>
  <c r="H386" i="20"/>
  <c r="I386" i="20" s="1"/>
  <c r="H910" i="20"/>
  <c r="I910" i="20" s="1"/>
  <c r="H464" i="20"/>
  <c r="H637" i="20"/>
  <c r="H369" i="20"/>
  <c r="H377" i="20"/>
  <c r="I377" i="20" s="1"/>
  <c r="H647" i="20"/>
  <c r="I647" i="20" s="1"/>
  <c r="H736" i="20"/>
  <c r="I736" i="20" s="1"/>
  <c r="H291" i="20"/>
  <c r="I291" i="20" s="1"/>
  <c r="H829" i="20"/>
  <c r="I829" i="20" s="1"/>
  <c r="H923" i="20"/>
  <c r="I923" i="20" s="1"/>
  <c r="H926" i="20"/>
  <c r="I926" i="20" s="1"/>
  <c r="H655" i="20"/>
  <c r="I655" i="20" s="1"/>
  <c r="H211" i="20"/>
  <c r="I211" i="20" s="1"/>
  <c r="H657" i="20"/>
  <c r="I657" i="20" s="1"/>
  <c r="H124" i="20"/>
  <c r="I124" i="20" s="1"/>
  <c r="H125" i="20"/>
  <c r="I125" i="20" s="1"/>
  <c r="H662" i="20"/>
  <c r="I662" i="20" s="1"/>
  <c r="H129" i="20"/>
  <c r="I129" i="20" s="1"/>
  <c r="H221" i="20"/>
  <c r="I221" i="20" s="1"/>
  <c r="H576" i="20"/>
  <c r="I576" i="20" s="1"/>
  <c r="H198" i="20"/>
  <c r="I198" i="20" s="1"/>
  <c r="H372" i="20"/>
  <c r="I372" i="20" s="1"/>
  <c r="H909" i="20"/>
  <c r="I909" i="20" s="1"/>
  <c r="H912" i="20"/>
  <c r="I912" i="20" s="1"/>
  <c r="H374" i="20"/>
  <c r="I374" i="20" s="1"/>
  <c r="H466" i="20"/>
  <c r="I466" i="20" s="1"/>
  <c r="H825" i="20"/>
  <c r="I825" i="20" s="1"/>
  <c r="H469" i="20"/>
  <c r="I469" i="20" s="1"/>
  <c r="H558" i="20"/>
  <c r="I558" i="20" s="1"/>
  <c r="H116" i="20"/>
  <c r="I116" i="20" s="1"/>
  <c r="H475" i="20"/>
  <c r="I475" i="20" s="1"/>
  <c r="H388" i="20"/>
  <c r="I388" i="20" s="1"/>
  <c r="H928" i="20"/>
  <c r="I928" i="20" s="1"/>
  <c r="H929" i="20"/>
  <c r="I929" i="20" s="1"/>
  <c r="H394" i="20"/>
  <c r="I394" i="20" s="1"/>
  <c r="H932" i="20"/>
  <c r="I932" i="20" s="1"/>
  <c r="H571" i="20"/>
  <c r="I571" i="20" s="1"/>
  <c r="H573" i="20"/>
  <c r="I573" i="20" s="1"/>
  <c r="H487" i="20"/>
  <c r="I487" i="20" s="1"/>
  <c r="H575" i="20"/>
  <c r="I575" i="20" s="1"/>
  <c r="H312" i="20"/>
  <c r="I312" i="20" s="1"/>
  <c r="H641" i="20"/>
  <c r="I641" i="20" s="1"/>
  <c r="H640" i="20"/>
  <c r="I640" i="20" s="1"/>
  <c r="H915" i="20"/>
  <c r="I915" i="20" s="1"/>
  <c r="H114" i="20"/>
  <c r="I114" i="20" s="1"/>
  <c r="H474" i="20"/>
  <c r="I474" i="20" s="1"/>
  <c r="H208" i="20"/>
  <c r="I208" i="20" s="1"/>
  <c r="H393" i="20"/>
  <c r="I393" i="20" s="1"/>
  <c r="H751" i="20"/>
  <c r="I751" i="20" s="1"/>
  <c r="H219" i="20"/>
  <c r="I219" i="20" s="1"/>
  <c r="H757" i="20"/>
  <c r="I757" i="20" s="1"/>
  <c r="H851" i="20"/>
  <c r="I851" i="20" s="1"/>
  <c r="H314" i="20"/>
  <c r="I314" i="20" s="1"/>
  <c r="H672" i="20"/>
  <c r="I672" i="20" s="1"/>
  <c r="H497" i="20"/>
  <c r="I497" i="20" s="1"/>
  <c r="H947" i="20"/>
  <c r="I947" i="20" s="1"/>
  <c r="H233" i="20"/>
  <c r="I233" i="20" s="1"/>
  <c r="H867" i="20"/>
  <c r="I867" i="20" s="1"/>
  <c r="H321" i="20"/>
  <c r="I321" i="20" s="1"/>
  <c r="H769" i="20"/>
  <c r="I769" i="20" s="1"/>
  <c r="H645" i="20"/>
  <c r="I645" i="20" s="1"/>
  <c r="H416" i="20"/>
  <c r="I416" i="20" s="1"/>
  <c r="H281" i="20"/>
  <c r="I281" i="20" s="1"/>
  <c r="H589" i="20"/>
  <c r="I589" i="20" s="1"/>
  <c r="H549" i="20"/>
  <c r="I549" i="20" s="1"/>
  <c r="H727" i="20"/>
  <c r="I727" i="20" s="1"/>
  <c r="H371" i="20"/>
  <c r="I371" i="20" s="1"/>
  <c r="H197" i="20"/>
  <c r="I197" i="20" s="1"/>
  <c r="H108" i="20"/>
  <c r="I108" i="20" s="1"/>
  <c r="H200" i="20"/>
  <c r="I200" i="20" s="1"/>
  <c r="H916" i="20"/>
  <c r="I916" i="20" s="1"/>
  <c r="H918" i="20"/>
  <c r="I918" i="20" s="1"/>
  <c r="H204" i="20"/>
  <c r="I204" i="20" s="1"/>
  <c r="H293" i="20"/>
  <c r="I293" i="20" s="1"/>
  <c r="H117" i="20"/>
  <c r="I117" i="20" s="1"/>
  <c r="H833" i="20"/>
  <c r="I833" i="20" s="1"/>
  <c r="H477" i="20"/>
  <c r="I477" i="20" s="1"/>
  <c r="H121" i="20"/>
  <c r="I121" i="20" s="1"/>
  <c r="H302" i="20"/>
  <c r="I302" i="20" s="1"/>
  <c r="H659" i="20"/>
  <c r="I659" i="20" s="1"/>
  <c r="H215" i="20"/>
  <c r="I215" i="20" s="1"/>
  <c r="H128" i="20"/>
  <c r="I128" i="20" s="1"/>
  <c r="H937" i="20"/>
  <c r="I937" i="20" s="1"/>
  <c r="H846" i="20"/>
  <c r="I846" i="20" s="1"/>
  <c r="H940" i="20"/>
  <c r="I940" i="20" s="1"/>
  <c r="H193" i="20"/>
  <c r="I193" i="20" s="1"/>
  <c r="H101" i="20"/>
  <c r="H105" i="20"/>
  <c r="I105" i="20" s="1"/>
  <c r="H728" i="20"/>
  <c r="I728" i="20" s="1"/>
  <c r="H199" i="20"/>
  <c r="H287" i="20"/>
  <c r="I287" i="20" s="1"/>
  <c r="H380" i="20"/>
  <c r="I380" i="20" s="1"/>
  <c r="H382" i="20"/>
  <c r="I382" i="20" s="1"/>
  <c r="H738" i="20"/>
  <c r="I738" i="20" s="1"/>
  <c r="H830" i="20"/>
  <c r="I830" i="20" s="1"/>
  <c r="H118" i="20"/>
  <c r="I118" i="20" s="1"/>
  <c r="H834" i="20"/>
  <c r="I834" i="20" s="1"/>
  <c r="H299" i="20"/>
  <c r="I299" i="20" s="1"/>
  <c r="H567" i="20"/>
  <c r="I567" i="20" s="1"/>
  <c r="H838" i="20"/>
  <c r="I838" i="20" s="1"/>
  <c r="H570" i="20"/>
  <c r="I570" i="20" s="1"/>
  <c r="H397" i="20"/>
  <c r="I397" i="20" s="1"/>
  <c r="H486" i="20"/>
  <c r="I486" i="20" s="1"/>
  <c r="H574" i="20"/>
  <c r="I574" i="20" s="1"/>
  <c r="H401" i="20"/>
  <c r="I401" i="20" s="1"/>
  <c r="H550" i="20"/>
  <c r="I550" i="20" s="1"/>
  <c r="H822" i="20"/>
  <c r="I822" i="20" s="1"/>
  <c r="H638" i="20"/>
  <c r="I638" i="20" s="1"/>
  <c r="H379" i="20"/>
  <c r="I379" i="20" s="1"/>
  <c r="H384" i="20"/>
  <c r="I384" i="20" s="1"/>
  <c r="H924" i="20"/>
  <c r="I924" i="20" s="1"/>
  <c r="H120" i="20"/>
  <c r="I120" i="20" s="1"/>
  <c r="H481" i="20"/>
  <c r="I481" i="20" s="1"/>
  <c r="H306" i="20"/>
  <c r="I306" i="20" s="1"/>
  <c r="H664" i="20"/>
  <c r="I664" i="20" s="1"/>
  <c r="H577" i="20"/>
  <c r="I577" i="20" s="1"/>
  <c r="H492" i="20"/>
  <c r="I492" i="20" s="1"/>
  <c r="H671" i="20"/>
  <c r="I671" i="20" s="1"/>
  <c r="H855" i="20"/>
  <c r="I855" i="20" s="1"/>
  <c r="H946" i="20"/>
  <c r="I946" i="20" s="1"/>
  <c r="H585" i="20"/>
  <c r="I585" i="20" s="1"/>
  <c r="H412" i="20"/>
  <c r="I412" i="20" s="1"/>
  <c r="H862" i="20"/>
  <c r="I862" i="20" s="1"/>
  <c r="H680" i="20"/>
  <c r="I680" i="20" s="1"/>
  <c r="H326" i="20"/>
  <c r="I326" i="20" s="1"/>
  <c r="H955" i="20"/>
  <c r="I955" i="20" s="1"/>
  <c r="H956" i="20"/>
  <c r="I956" i="20" s="1"/>
  <c r="H957" i="20"/>
  <c r="I957" i="20" s="1"/>
  <c r="H513" i="20"/>
  <c r="I513" i="20" s="1"/>
  <c r="H514" i="20"/>
  <c r="I514" i="20" s="1"/>
  <c r="H245" i="20"/>
  <c r="I245" i="20" s="1"/>
  <c r="H694" i="20"/>
  <c r="I694" i="20" s="1"/>
  <c r="H160" i="20"/>
  <c r="I160" i="20" s="1"/>
  <c r="H556" i="20"/>
  <c r="I556" i="20" s="1"/>
  <c r="H742" i="20"/>
  <c r="I742" i="20" s="1"/>
  <c r="H213" i="20"/>
  <c r="I213" i="20" s="1"/>
  <c r="H938" i="20"/>
  <c r="I938" i="20" s="1"/>
  <c r="H944" i="20"/>
  <c r="I944" i="20" s="1"/>
  <c r="H675" i="20"/>
  <c r="I675" i="20" s="1"/>
  <c r="H863" i="20"/>
  <c r="I863" i="20" s="1"/>
  <c r="H327" i="20"/>
  <c r="I327" i="20" s="1"/>
  <c r="H511" i="20"/>
  <c r="I511" i="20" s="1"/>
  <c r="H601" i="20"/>
  <c r="I601" i="20" s="1"/>
  <c r="H460" i="20"/>
  <c r="I460" i="20" s="1"/>
  <c r="H192" i="20"/>
  <c r="I192" i="20" s="1"/>
  <c r="H646" i="20"/>
  <c r="I646" i="20" s="1"/>
  <c r="H557" i="20"/>
  <c r="I557" i="20" s="1"/>
  <c r="H831" i="20"/>
  <c r="I831" i="20" s="1"/>
  <c r="H564" i="20"/>
  <c r="I564" i="20" s="1"/>
  <c r="H212" i="20"/>
  <c r="I212" i="20" s="1"/>
  <c r="H484" i="20"/>
  <c r="I484" i="20" s="1"/>
  <c r="H663" i="20"/>
  <c r="I663" i="20" s="1"/>
  <c r="H490" i="20"/>
  <c r="I490" i="20" s="1"/>
  <c r="H759" i="20"/>
  <c r="I759" i="20" s="1"/>
  <c r="H494" i="20"/>
  <c r="I494" i="20" s="1"/>
  <c r="H761" i="20"/>
  <c r="I761" i="20" s="1"/>
  <c r="H139" i="20"/>
  <c r="I139" i="20" s="1"/>
  <c r="H499" i="20"/>
  <c r="I499" i="20" s="1"/>
  <c r="H142" i="20"/>
  <c r="I142" i="20" s="1"/>
  <c r="H678" i="20"/>
  <c r="I678" i="20" s="1"/>
  <c r="H324" i="20"/>
  <c r="I324" i="20" s="1"/>
  <c r="H954" i="20"/>
  <c r="I954" i="20" s="1"/>
  <c r="H507" i="20"/>
  <c r="I507" i="20" s="1"/>
  <c r="H509" i="20"/>
  <c r="I509" i="20" s="1"/>
  <c r="H423" i="20"/>
  <c r="I423" i="20" s="1"/>
  <c r="H689" i="20"/>
  <c r="I689" i="20" s="1"/>
  <c r="H873" i="20"/>
  <c r="I873" i="20" s="1"/>
  <c r="H428" i="20"/>
  <c r="I428" i="20" s="1"/>
  <c r="H605" i="20"/>
  <c r="I605" i="20" s="1"/>
  <c r="H782" i="20"/>
  <c r="I782" i="20" s="1"/>
  <c r="H731" i="20"/>
  <c r="H552" i="20"/>
  <c r="I552" i="20" s="1"/>
  <c r="H735" i="20"/>
  <c r="I735" i="20" s="1"/>
  <c r="H832" i="20"/>
  <c r="I832" i="20" s="1"/>
  <c r="H931" i="20"/>
  <c r="I931" i="20" s="1"/>
  <c r="H844" i="20"/>
  <c r="I844" i="20" s="1"/>
  <c r="H668" i="20"/>
  <c r="I668" i="20" s="1"/>
  <c r="H315" i="20"/>
  <c r="I315" i="20" s="1"/>
  <c r="H856" i="20"/>
  <c r="I856" i="20" s="1"/>
  <c r="H411" i="20"/>
  <c r="I411" i="20" s="1"/>
  <c r="H414" i="20"/>
  <c r="I414" i="20" s="1"/>
  <c r="H591" i="20"/>
  <c r="I591" i="20" s="1"/>
  <c r="H771" i="20"/>
  <c r="I771" i="20" s="1"/>
  <c r="H774" i="20"/>
  <c r="I774" i="20" s="1"/>
  <c r="H962" i="20"/>
  <c r="I962" i="20" s="1"/>
  <c r="H503" i="20"/>
  <c r="I503" i="20" s="1"/>
  <c r="H310" i="20"/>
  <c r="I310" i="20" s="1"/>
  <c r="H819" i="20"/>
  <c r="H872" i="20"/>
  <c r="I872" i="20" s="1"/>
  <c r="H323" i="20"/>
  <c r="I323" i="20" s="1"/>
  <c r="H316" i="20"/>
  <c r="I316" i="20" s="1"/>
  <c r="H752" i="20"/>
  <c r="I752" i="20" s="1"/>
  <c r="H921" i="20"/>
  <c r="I921" i="20" s="1"/>
  <c r="H282" i="20"/>
  <c r="I282" i="20" s="1"/>
  <c r="H964" i="20"/>
  <c r="I964" i="20" s="1"/>
  <c r="H329" i="20"/>
  <c r="I329" i="20" s="1"/>
  <c r="H854" i="20"/>
  <c r="I854" i="20" s="1"/>
  <c r="H385" i="20"/>
  <c r="I385" i="20" s="1"/>
  <c r="H250" i="20"/>
  <c r="I250" i="20" s="1"/>
  <c r="H334" i="20"/>
  <c r="I334" i="20" s="1"/>
  <c r="H607" i="20"/>
  <c r="I607" i="20" s="1"/>
  <c r="H516" i="20"/>
  <c r="I516" i="20" s="1"/>
  <c r="H687" i="20"/>
  <c r="I687" i="20" s="1"/>
  <c r="H504" i="20"/>
  <c r="I504" i="20" s="1"/>
  <c r="H583" i="20"/>
  <c r="I583" i="20" s="1"/>
  <c r="H132" i="20"/>
  <c r="I132" i="20" s="1"/>
  <c r="H744" i="20"/>
  <c r="I744" i="20" s="1"/>
  <c r="H370" i="20"/>
  <c r="I370" i="20" s="1"/>
  <c r="H952" i="20"/>
  <c r="I952" i="20" s="1"/>
  <c r="H146" i="20"/>
  <c r="I146" i="20" s="1"/>
  <c r="H594" i="20"/>
  <c r="I594" i="20" s="1"/>
  <c r="H510" i="20"/>
  <c r="I510" i="20" s="1"/>
  <c r="H598" i="20"/>
  <c r="I598" i="20" s="1"/>
  <c r="H243" i="20"/>
  <c r="I243" i="20" s="1"/>
  <c r="H244" i="20"/>
  <c r="I244" i="20" s="1"/>
  <c r="H337" i="20"/>
  <c r="I337" i="20" s="1"/>
  <c r="H248" i="20"/>
  <c r="I248" i="20" s="1"/>
  <c r="H784" i="20"/>
  <c r="I784" i="20" s="1"/>
  <c r="H471" i="20"/>
  <c r="I471" i="20" s="1"/>
  <c r="H298" i="20"/>
  <c r="I298" i="20" s="1"/>
  <c r="H933" i="20"/>
  <c r="I933" i="20" s="1"/>
  <c r="H667" i="20"/>
  <c r="I667" i="20" s="1"/>
  <c r="H317" i="20"/>
  <c r="I317" i="20" s="1"/>
  <c r="H676" i="20"/>
  <c r="I676" i="20" s="1"/>
  <c r="H768" i="20"/>
  <c r="I768" i="20" s="1"/>
  <c r="H770" i="20"/>
  <c r="I770" i="20" s="1"/>
  <c r="H331" i="20"/>
  <c r="I331" i="20" s="1"/>
  <c r="H373" i="20"/>
  <c r="I373" i="20" s="1"/>
  <c r="H376" i="20"/>
  <c r="H639" i="20"/>
  <c r="I639" i="20" s="1"/>
  <c r="H112" i="20"/>
  <c r="I112" i="20" s="1"/>
  <c r="H920" i="20"/>
  <c r="I920" i="20" s="1"/>
  <c r="H387" i="20"/>
  <c r="I387" i="20" s="1"/>
  <c r="H835" i="20"/>
  <c r="I835" i="20" s="1"/>
  <c r="H748" i="20"/>
  <c r="I748" i="20" s="1"/>
  <c r="H841" i="20"/>
  <c r="I841" i="20" s="1"/>
  <c r="H845" i="20"/>
  <c r="I845" i="20" s="1"/>
  <c r="H223" i="20"/>
  <c r="I223" i="20" s="1"/>
  <c r="H579" i="20"/>
  <c r="I579" i="20" s="1"/>
  <c r="H760" i="20"/>
  <c r="I760" i="20" s="1"/>
  <c r="H229" i="20"/>
  <c r="I229" i="20" s="1"/>
  <c r="H231" i="20"/>
  <c r="I231" i="20" s="1"/>
  <c r="H764" i="20"/>
  <c r="I764" i="20" s="1"/>
  <c r="H949" i="20"/>
  <c r="I949" i="20" s="1"/>
  <c r="H767" i="20"/>
  <c r="I767" i="20" s="1"/>
  <c r="H145" i="20"/>
  <c r="I145" i="20" s="1"/>
  <c r="H506" i="20"/>
  <c r="I506" i="20" s="1"/>
  <c r="H684" i="20"/>
  <c r="I684" i="20" s="1"/>
  <c r="H150" i="20"/>
  <c r="I150" i="20" s="1"/>
  <c r="H242" i="20"/>
  <c r="I242" i="20" s="1"/>
  <c r="H960" i="20"/>
  <c r="I960" i="20" s="1"/>
  <c r="H515" i="20"/>
  <c r="I515" i="20" s="1"/>
  <c r="H336" i="20"/>
  <c r="I336" i="20" s="1"/>
  <c r="H965" i="20"/>
  <c r="I965" i="20" s="1"/>
  <c r="H785" i="20"/>
  <c r="I785" i="20" s="1"/>
  <c r="H548" i="20"/>
  <c r="H908" i="20"/>
  <c r="I908" i="20" s="1"/>
  <c r="H113" i="20"/>
  <c r="I113" i="20" s="1"/>
  <c r="H297" i="20"/>
  <c r="I297" i="20" s="1"/>
  <c r="H569" i="20"/>
  <c r="I569" i="20" s="1"/>
  <c r="H131" i="20"/>
  <c r="I131" i="20" s="1"/>
  <c r="H942" i="20"/>
  <c r="I942" i="20" s="1"/>
  <c r="H406" i="20"/>
  <c r="I406" i="20" s="1"/>
  <c r="H584" i="20"/>
  <c r="I584" i="20" s="1"/>
  <c r="H948" i="20"/>
  <c r="I948" i="20" s="1"/>
  <c r="H415" i="20"/>
  <c r="I415" i="20" s="1"/>
  <c r="H238" i="20"/>
  <c r="I238" i="20" s="1"/>
  <c r="H241" i="20"/>
  <c r="I241" i="20" s="1"/>
  <c r="H332" i="20"/>
  <c r="I332" i="20" s="1"/>
  <c r="H333" i="20"/>
  <c r="I333" i="20" s="1"/>
  <c r="H587" i="20"/>
  <c r="I587" i="20" s="1"/>
  <c r="H839" i="20"/>
  <c r="I839" i="20" s="1"/>
  <c r="H330" i="20"/>
  <c r="I330" i="20" s="1"/>
  <c r="H413" i="20"/>
  <c r="I413" i="20" s="1"/>
  <c r="H404" i="20"/>
  <c r="I404" i="20" s="1"/>
  <c r="H123" i="20"/>
  <c r="I123" i="20" s="1"/>
  <c r="H648" i="20"/>
  <c r="I648" i="20" s="1"/>
  <c r="H692" i="20"/>
  <c r="I692" i="20" s="1"/>
  <c r="H864" i="20"/>
  <c r="I864" i="20" s="1"/>
  <c r="H849" i="20"/>
  <c r="I849" i="20" s="1"/>
  <c r="H378" i="20"/>
  <c r="I378" i="20" s="1"/>
  <c r="H249" i="20"/>
  <c r="I249" i="20" s="1"/>
  <c r="H152" i="20"/>
  <c r="I152" i="20" s="1"/>
  <c r="H339" i="20"/>
  <c r="I339" i="20" s="1"/>
  <c r="H426" i="20"/>
  <c r="I426" i="20" s="1"/>
  <c r="H240" i="20"/>
  <c r="I240" i="20" s="1"/>
  <c r="H951" i="20"/>
  <c r="I951" i="20" s="1"/>
  <c r="H228" i="20"/>
  <c r="I228" i="20" s="1"/>
  <c r="H220" i="20"/>
  <c r="I220" i="20" s="1"/>
  <c r="H741" i="20"/>
  <c r="I741" i="20" s="1"/>
  <c r="H551" i="20"/>
  <c r="I551" i="20" s="1"/>
  <c r="H950" i="20"/>
  <c r="I950" i="20" s="1"/>
  <c r="H325" i="20"/>
  <c r="I325" i="20" s="1"/>
  <c r="H866" i="20"/>
  <c r="I866" i="20" s="1"/>
  <c r="H239" i="20"/>
  <c r="I239" i="20" s="1"/>
  <c r="H596" i="20"/>
  <c r="I596" i="20" s="1"/>
  <c r="H959" i="20"/>
  <c r="I959" i="20" s="1"/>
  <c r="H775" i="20"/>
  <c r="I775" i="20" s="1"/>
  <c r="H603" i="20"/>
  <c r="I603" i="20" s="1"/>
  <c r="H517" i="20"/>
  <c r="I517" i="20" s="1"/>
  <c r="H518" i="20"/>
  <c r="I518" i="20" s="1"/>
  <c r="H194" i="20"/>
  <c r="I194" i="20" s="1"/>
  <c r="H472" i="20"/>
  <c r="I472" i="20" s="1"/>
  <c r="H210" i="20"/>
  <c r="I210" i="20" s="1"/>
  <c r="H126" i="20"/>
  <c r="I126" i="20" s="1"/>
  <c r="H941" i="20"/>
  <c r="I941" i="20" s="1"/>
  <c r="H230" i="20"/>
  <c r="I230" i="20" s="1"/>
  <c r="H861" i="20"/>
  <c r="I861" i="20" s="1"/>
  <c r="H417" i="20"/>
  <c r="I417" i="20" s="1"/>
  <c r="H422" i="20"/>
  <c r="I422" i="20" s="1"/>
  <c r="H871" i="20"/>
  <c r="I871" i="20" s="1"/>
  <c r="H642" i="20"/>
  <c r="H817" i="20"/>
  <c r="I817" i="20" s="1"/>
  <c r="H286" i="20"/>
  <c r="I286" i="20" s="1"/>
  <c r="H917" i="20"/>
  <c r="I917" i="20" s="1"/>
  <c r="H651" i="20"/>
  <c r="I651" i="20" s="1"/>
  <c r="H207" i="20"/>
  <c r="I207" i="20" s="1"/>
  <c r="H391" i="20"/>
  <c r="I391" i="20" s="1"/>
  <c r="H395" i="20"/>
  <c r="I395" i="20" s="1"/>
  <c r="H398" i="20"/>
  <c r="I398" i="20" s="1"/>
  <c r="H130" i="20"/>
  <c r="I130" i="20" s="1"/>
  <c r="H758" i="20"/>
  <c r="I758" i="20" s="1"/>
  <c r="H943" i="20"/>
  <c r="I943" i="20" s="1"/>
  <c r="H495" i="20"/>
  <c r="I495" i="20" s="1"/>
  <c r="H582" i="20"/>
  <c r="I582" i="20" s="1"/>
  <c r="H763" i="20"/>
  <c r="I763" i="20" s="1"/>
  <c r="H500" i="20"/>
  <c r="I500" i="20" s="1"/>
  <c r="H766" i="20"/>
  <c r="I766" i="20" s="1"/>
  <c r="H144" i="20"/>
  <c r="I144" i="20" s="1"/>
  <c r="H237" i="20"/>
  <c r="I237" i="20" s="1"/>
  <c r="H419" i="20"/>
  <c r="I419" i="20" s="1"/>
  <c r="H421" i="20"/>
  <c r="I421" i="20" s="1"/>
  <c r="H686" i="20"/>
  <c r="I686" i="20" s="1"/>
  <c r="H773" i="20"/>
  <c r="I773" i="20" s="1"/>
  <c r="H425" i="20"/>
  <c r="I425" i="20" s="1"/>
  <c r="H874" i="20"/>
  <c r="I874" i="20" s="1"/>
  <c r="H246" i="20"/>
  <c r="I246" i="20" s="1"/>
  <c r="H159" i="20"/>
  <c r="I159" i="20" s="1"/>
  <c r="H907" i="20"/>
  <c r="I907" i="20" s="1"/>
  <c r="H104" i="20"/>
  <c r="I104" i="20" s="1"/>
  <c r="H823" i="20"/>
  <c r="I823" i="20" s="1"/>
  <c r="H919" i="20"/>
  <c r="I919" i="20" s="1"/>
  <c r="H209" i="20"/>
  <c r="I209" i="20" s="1"/>
  <c r="H840" i="20"/>
  <c r="I840" i="20" s="1"/>
  <c r="H222" i="20"/>
  <c r="I222" i="20" s="1"/>
  <c r="H134" i="20"/>
  <c r="I134" i="20" s="1"/>
  <c r="H227" i="20"/>
  <c r="I227" i="20" s="1"/>
  <c r="H858" i="20"/>
  <c r="I858" i="20" s="1"/>
  <c r="H860" i="20"/>
  <c r="I860" i="20" s="1"/>
  <c r="H590" i="20"/>
  <c r="I590" i="20" s="1"/>
  <c r="H148" i="20"/>
  <c r="I148" i="20" s="1"/>
  <c r="H869" i="20"/>
  <c r="I869" i="20" s="1"/>
  <c r="H783" i="20"/>
  <c r="I783" i="20" s="1"/>
  <c r="H151" i="20"/>
  <c r="I151" i="20" s="1"/>
  <c r="H408" i="20"/>
  <c r="I408" i="20" s="1"/>
  <c r="H476" i="20"/>
  <c r="I476" i="20" s="1"/>
  <c r="H247" i="20"/>
  <c r="I247" i="20" s="1"/>
  <c r="H508" i="20"/>
  <c r="I508" i="20" s="1"/>
  <c r="H586" i="20"/>
  <c r="I586" i="20" s="1"/>
  <c r="H224" i="20"/>
  <c r="I224" i="20" s="1"/>
  <c r="H565" i="20"/>
  <c r="I565" i="20" s="1"/>
  <c r="H733" i="20"/>
  <c r="I733" i="20" s="1"/>
  <c r="H690" i="20"/>
  <c r="I690" i="20" s="1"/>
  <c r="H234" i="20"/>
  <c r="I234" i="20" s="1"/>
  <c r="H485" i="20"/>
  <c r="I485" i="20" s="1"/>
  <c r="H195" i="20"/>
  <c r="I195" i="20" s="1"/>
  <c r="H604" i="20"/>
  <c r="I604" i="20" s="1"/>
  <c r="H147" i="20"/>
  <c r="I147" i="20" s="1"/>
  <c r="H779" i="20"/>
  <c r="I779" i="20" s="1"/>
  <c r="H154" i="20"/>
  <c r="I154" i="20" s="1"/>
  <c r="H420" i="20"/>
  <c r="I420" i="20" s="1"/>
  <c r="H677" i="20"/>
  <c r="I677" i="20" s="1"/>
  <c r="H136" i="20"/>
  <c r="I136" i="20" s="1"/>
  <c r="H661" i="20"/>
  <c r="I661" i="20" s="1"/>
  <c r="H828" i="20"/>
  <c r="I828" i="20" s="1"/>
  <c r="H280" i="20"/>
  <c r="H679" i="20"/>
  <c r="I679" i="20" s="1"/>
  <c r="H681" i="20"/>
  <c r="I681" i="20" s="1"/>
  <c r="H593" i="20"/>
  <c r="I593" i="20" s="1"/>
  <c r="H685" i="20"/>
  <c r="I685" i="20" s="1"/>
  <c r="H772" i="20"/>
  <c r="I772" i="20" s="1"/>
  <c r="H424" i="20"/>
  <c r="I424" i="20" s="1"/>
  <c r="H776" i="20"/>
  <c r="I776" i="20" s="1"/>
  <c r="H427" i="20"/>
  <c r="I427" i="20" s="1"/>
  <c r="H693" i="20"/>
  <c r="I693" i="20" s="1"/>
  <c r="H780" i="20"/>
  <c r="I780" i="20" s="1"/>
  <c r="H465" i="20"/>
  <c r="I465" i="20" s="1"/>
  <c r="H560" i="20"/>
  <c r="I560" i="20" s="1"/>
  <c r="H122" i="20"/>
  <c r="I122" i="20" s="1"/>
  <c r="H218" i="20"/>
  <c r="I218" i="20" s="1"/>
  <c r="H670" i="20"/>
  <c r="I670" i="20" s="1"/>
  <c r="H857" i="20"/>
  <c r="I857" i="20" s="1"/>
  <c r="H235" i="20"/>
  <c r="I235" i="20" s="1"/>
  <c r="H418" i="20"/>
  <c r="I418" i="20" s="1"/>
  <c r="H868" i="20"/>
  <c r="I868" i="20" s="1"/>
  <c r="H600" i="20"/>
  <c r="I600" i="20" s="1"/>
  <c r="H102" i="20"/>
  <c r="I102" i="20" s="1"/>
  <c r="H106" i="20"/>
  <c r="I106" i="20" s="1"/>
  <c r="H734" i="20"/>
  <c r="I734" i="20" s="1"/>
  <c r="H470" i="20"/>
  <c r="I470" i="20" s="1"/>
  <c r="H922" i="20"/>
  <c r="I922" i="20" s="1"/>
  <c r="H743" i="20"/>
  <c r="I743" i="20" s="1"/>
  <c r="H479" i="20"/>
  <c r="I479" i="20" s="1"/>
  <c r="H660" i="20"/>
  <c r="I660" i="20" s="1"/>
  <c r="H753" i="20"/>
  <c r="I753" i="20" s="1"/>
  <c r="H847" i="20"/>
  <c r="I847" i="20" s="1"/>
  <c r="H313" i="20"/>
  <c r="I313" i="20" s="1"/>
  <c r="H405" i="20"/>
  <c r="I405" i="20" s="1"/>
  <c r="H137" i="20"/>
  <c r="I137" i="20" s="1"/>
  <c r="H762" i="20"/>
  <c r="I762" i="20" s="1"/>
  <c r="H410" i="20"/>
  <c r="I410" i="20" s="1"/>
  <c r="H765" i="20"/>
  <c r="I765" i="20" s="1"/>
  <c r="H588" i="20"/>
  <c r="I588" i="20" s="1"/>
  <c r="H236" i="20"/>
  <c r="I236" i="20" s="1"/>
  <c r="H505" i="20"/>
  <c r="I505" i="20" s="1"/>
  <c r="H683" i="20"/>
  <c r="I683" i="20" s="1"/>
  <c r="H149" i="20"/>
  <c r="I149" i="20" s="1"/>
  <c r="H958" i="20"/>
  <c r="I958" i="20" s="1"/>
  <c r="H599" i="20"/>
  <c r="I599" i="20" s="1"/>
  <c r="H961" i="20"/>
  <c r="I961" i="20" s="1"/>
  <c r="H691" i="20"/>
  <c r="I691" i="20" s="1"/>
  <c r="H157" i="20"/>
  <c r="I157" i="20" s="1"/>
  <c r="H781" i="20"/>
  <c r="I781" i="20" s="1"/>
  <c r="H820" i="20"/>
  <c r="I820" i="20" s="1"/>
  <c r="H191" i="20"/>
  <c r="H824" i="20"/>
  <c r="I824" i="20" s="1"/>
  <c r="H383" i="20"/>
  <c r="I383" i="20" s="1"/>
  <c r="H746" i="20"/>
  <c r="I746" i="20" s="1"/>
  <c r="H842" i="20"/>
  <c r="I842" i="20" s="1"/>
  <c r="H133" i="20"/>
  <c r="I133" i="20" s="1"/>
  <c r="H493" i="20"/>
  <c r="I493" i="20" s="1"/>
  <c r="H138" i="20"/>
  <c r="I138" i="20" s="1"/>
  <c r="H320" i="20"/>
  <c r="I320" i="20" s="1"/>
  <c r="H322" i="20"/>
  <c r="I322" i="20" s="1"/>
  <c r="H865" i="20"/>
  <c r="I865" i="20" s="1"/>
  <c r="H328" i="20"/>
  <c r="I328" i="20" s="1"/>
  <c r="H870" i="20"/>
  <c r="I870" i="20" s="1"/>
  <c r="H695" i="20"/>
  <c r="I695" i="20" s="1"/>
  <c r="H682" i="20"/>
  <c r="I682" i="20" s="1"/>
  <c r="H135" i="20"/>
  <c r="I135" i="20" s="1"/>
  <c r="H381" i="20"/>
  <c r="I381" i="20" s="1"/>
  <c r="H155" i="20"/>
  <c r="I155" i="20" s="1"/>
  <c r="H953" i="20"/>
  <c r="I953" i="20" s="1"/>
  <c r="H496" i="20"/>
  <c r="I496" i="20" s="1"/>
  <c r="H400" i="20"/>
  <c r="I400" i="20" s="1"/>
  <c r="H925" i="20"/>
  <c r="I925" i="20" s="1"/>
  <c r="H821" i="20"/>
  <c r="I821" i="20" s="1"/>
  <c r="H606" i="20"/>
  <c r="I606" i="20" s="1"/>
  <c r="H688" i="20"/>
  <c r="I688" i="20" s="1"/>
  <c r="H498" i="20"/>
  <c r="I498" i="20" s="1"/>
  <c r="H392" i="20"/>
  <c r="I392" i="20" s="1"/>
  <c r="H156" i="20"/>
  <c r="I156" i="20" s="1"/>
  <c r="H409" i="20"/>
  <c r="I409" i="20" s="1"/>
  <c r="H778" i="20"/>
  <c r="I778" i="20" s="1"/>
  <c r="H153" i="20"/>
  <c r="I153" i="20" s="1"/>
  <c r="H592" i="20"/>
  <c r="I592" i="20" s="1"/>
  <c r="H232" i="20"/>
  <c r="I232" i="20" s="1"/>
  <c r="H669" i="20"/>
  <c r="I669" i="20" s="1"/>
  <c r="H568" i="20"/>
  <c r="I568" i="20" s="1"/>
  <c r="H288" i="20"/>
  <c r="H160" i="13"/>
  <c r="M453" i="13"/>
  <c r="M437" i="13"/>
  <c r="M438" i="13" s="1"/>
  <c r="I191" i="13"/>
  <c r="I194" i="13"/>
  <c r="I198" i="13"/>
  <c r="J198" i="13" s="1"/>
  <c r="I202" i="13"/>
  <c r="J202" i="13" s="1"/>
  <c r="I206" i="13"/>
  <c r="J206" i="13" s="1"/>
  <c r="I210" i="13"/>
  <c r="J210" i="13" s="1"/>
  <c r="I214" i="13"/>
  <c r="J214" i="13" s="1"/>
  <c r="I218" i="13"/>
  <c r="J218" i="13" s="1"/>
  <c r="I222" i="13"/>
  <c r="J222" i="13" s="1"/>
  <c r="I226" i="13"/>
  <c r="J226" i="13" s="1"/>
  <c r="I230" i="13"/>
  <c r="J230" i="13" s="1"/>
  <c r="I234" i="13"/>
  <c r="J234" i="13" s="1"/>
  <c r="I238" i="13"/>
  <c r="J238" i="13" s="1"/>
  <c r="I242" i="13"/>
  <c r="J242" i="13" s="1"/>
  <c r="I246" i="13"/>
  <c r="J246" i="13" s="1"/>
  <c r="I190" i="13"/>
  <c r="I188" i="13"/>
  <c r="I195" i="13"/>
  <c r="I199" i="13"/>
  <c r="J199" i="13" s="1"/>
  <c r="I203" i="13"/>
  <c r="J203" i="13" s="1"/>
  <c r="I207" i="13"/>
  <c r="J207" i="13" s="1"/>
  <c r="I211" i="13"/>
  <c r="J211" i="13" s="1"/>
  <c r="I215" i="13"/>
  <c r="J215" i="13" s="1"/>
  <c r="I220" i="13"/>
  <c r="J220" i="13" s="1"/>
  <c r="I223" i="13"/>
  <c r="J223" i="13" s="1"/>
  <c r="I227" i="13"/>
  <c r="J227" i="13" s="1"/>
  <c r="I231" i="13"/>
  <c r="J231" i="13" s="1"/>
  <c r="I235" i="13"/>
  <c r="J235" i="13" s="1"/>
  <c r="I239" i="13"/>
  <c r="J239" i="13" s="1"/>
  <c r="I243" i="13"/>
  <c r="J243" i="13" s="1"/>
  <c r="I187" i="13"/>
  <c r="I192" i="13"/>
  <c r="I196" i="13"/>
  <c r="J196" i="13" s="1"/>
  <c r="I200" i="13"/>
  <c r="J200" i="13" s="1"/>
  <c r="I204" i="13"/>
  <c r="J204" i="13" s="1"/>
  <c r="I208" i="13"/>
  <c r="J208" i="13" s="1"/>
  <c r="I212" i="13"/>
  <c r="J212" i="13" s="1"/>
  <c r="I216" i="13"/>
  <c r="J216" i="13" s="1"/>
  <c r="I219" i="13"/>
  <c r="J219" i="13" s="1"/>
  <c r="I224" i="13"/>
  <c r="J224" i="13" s="1"/>
  <c r="I228" i="13"/>
  <c r="J228" i="13" s="1"/>
  <c r="I232" i="13"/>
  <c r="J232" i="13" s="1"/>
  <c r="I236" i="13"/>
  <c r="J236" i="13" s="1"/>
  <c r="I240" i="13"/>
  <c r="J240" i="13" s="1"/>
  <c r="I244" i="13"/>
  <c r="J244" i="13" s="1"/>
  <c r="I189" i="13"/>
  <c r="I193" i="13"/>
  <c r="I197" i="13"/>
  <c r="J197" i="13" s="1"/>
  <c r="I201" i="13"/>
  <c r="J201" i="13" s="1"/>
  <c r="I205" i="13"/>
  <c r="J205" i="13" s="1"/>
  <c r="I209" i="13"/>
  <c r="J209" i="13" s="1"/>
  <c r="I213" i="13"/>
  <c r="J213" i="13" s="1"/>
  <c r="I217" i="13"/>
  <c r="J217" i="13" s="1"/>
  <c r="I221" i="13"/>
  <c r="J221" i="13" s="1"/>
  <c r="I225" i="13"/>
  <c r="J225" i="13" s="1"/>
  <c r="I229" i="13"/>
  <c r="J229" i="13" s="1"/>
  <c r="I233" i="13"/>
  <c r="J233" i="13" s="1"/>
  <c r="I237" i="13"/>
  <c r="J237" i="13" s="1"/>
  <c r="I241" i="13"/>
  <c r="J241" i="13" s="1"/>
  <c r="I245" i="13"/>
  <c r="J245" i="13" s="1"/>
  <c r="M195" i="13"/>
  <c r="M176" i="13"/>
  <c r="M177" i="13" s="1"/>
  <c r="M622" i="13"/>
  <c r="H682" i="13"/>
  <c r="I629" i="13"/>
  <c r="J629" i="13" s="1"/>
  <c r="I650" i="13"/>
  <c r="J650" i="13" s="1"/>
  <c r="I634" i="13"/>
  <c r="J634" i="13" s="1"/>
  <c r="I673" i="13"/>
  <c r="J673" i="13" s="1"/>
  <c r="I641" i="13"/>
  <c r="J641" i="13" s="1"/>
  <c r="I662" i="13"/>
  <c r="J662" i="13" s="1"/>
  <c r="I630" i="13"/>
  <c r="J630" i="13" s="1"/>
  <c r="I677" i="13"/>
  <c r="J677" i="13" s="1"/>
  <c r="I645" i="13"/>
  <c r="J645" i="13" s="1"/>
  <c r="I635" i="13"/>
  <c r="J635" i="13" s="1"/>
  <c r="I651" i="13"/>
  <c r="J651" i="13" s="1"/>
  <c r="I667" i="13"/>
  <c r="J667" i="13" s="1"/>
  <c r="I622" i="13"/>
  <c r="I640" i="13"/>
  <c r="J640" i="13" s="1"/>
  <c r="I656" i="13"/>
  <c r="J656" i="13" s="1"/>
  <c r="I672" i="13"/>
  <c r="J672" i="13" s="1"/>
  <c r="I674" i="13"/>
  <c r="J674" i="13" s="1"/>
  <c r="I665" i="13"/>
  <c r="J665" i="13" s="1"/>
  <c r="I633" i="13"/>
  <c r="J633" i="13" s="1"/>
  <c r="I654" i="13"/>
  <c r="J654" i="13" s="1"/>
  <c r="I623" i="13"/>
  <c r="I669" i="13"/>
  <c r="J669" i="13" s="1"/>
  <c r="I637" i="13"/>
  <c r="J637" i="13" s="1"/>
  <c r="I624" i="13"/>
  <c r="I639" i="13"/>
  <c r="J639" i="13" s="1"/>
  <c r="I655" i="13"/>
  <c r="J655" i="13" s="1"/>
  <c r="I671" i="13"/>
  <c r="J671" i="13" s="1"/>
  <c r="I628" i="13"/>
  <c r="J628" i="13" s="1"/>
  <c r="I644" i="13"/>
  <c r="J644" i="13" s="1"/>
  <c r="I660" i="13"/>
  <c r="J660" i="13" s="1"/>
  <c r="I676" i="13"/>
  <c r="J676" i="13" s="1"/>
  <c r="I642" i="13"/>
  <c r="J642" i="13" s="1"/>
  <c r="I658" i="13"/>
  <c r="J658" i="13" s="1"/>
  <c r="I657" i="13"/>
  <c r="J657" i="13" s="1"/>
  <c r="I625" i="13"/>
  <c r="I678" i="13"/>
  <c r="J678" i="13" s="1"/>
  <c r="I646" i="13"/>
  <c r="J646" i="13" s="1"/>
  <c r="I661" i="13"/>
  <c r="J661" i="13" s="1"/>
  <c r="I627" i="13"/>
  <c r="I643" i="13"/>
  <c r="J643" i="13" s="1"/>
  <c r="I659" i="13"/>
  <c r="J659" i="13" s="1"/>
  <c r="I675" i="13"/>
  <c r="J675" i="13" s="1"/>
  <c r="I632" i="13"/>
  <c r="J632" i="13" s="1"/>
  <c r="I648" i="13"/>
  <c r="J648" i="13" s="1"/>
  <c r="I664" i="13"/>
  <c r="J664" i="13" s="1"/>
  <c r="I680" i="13"/>
  <c r="J680" i="13" s="1"/>
  <c r="I666" i="13"/>
  <c r="J666" i="13" s="1"/>
  <c r="I626" i="13"/>
  <c r="I681" i="13"/>
  <c r="J681" i="13" s="1"/>
  <c r="I649" i="13"/>
  <c r="J649" i="13" s="1"/>
  <c r="I670" i="13"/>
  <c r="J670" i="13" s="1"/>
  <c r="I638" i="13"/>
  <c r="J638" i="13" s="1"/>
  <c r="I653" i="13"/>
  <c r="J653" i="13" s="1"/>
  <c r="I631" i="13"/>
  <c r="J631" i="13" s="1"/>
  <c r="I647" i="13"/>
  <c r="J647" i="13" s="1"/>
  <c r="I663" i="13"/>
  <c r="J663" i="13" s="1"/>
  <c r="I679" i="13"/>
  <c r="J679" i="13" s="1"/>
  <c r="I636" i="13"/>
  <c r="J636" i="13" s="1"/>
  <c r="I652" i="13"/>
  <c r="J652" i="13" s="1"/>
  <c r="I668" i="13"/>
  <c r="J668" i="13" s="1"/>
  <c r="M800" i="13"/>
  <c r="M785" i="13"/>
  <c r="M786" i="13" s="1"/>
  <c r="I797" i="13"/>
  <c r="I800" i="13"/>
  <c r="I804" i="13"/>
  <c r="J804" i="13" s="1"/>
  <c r="I808" i="13"/>
  <c r="J808" i="13" s="1"/>
  <c r="I812" i="13"/>
  <c r="J812" i="13" s="1"/>
  <c r="I816" i="13"/>
  <c r="J816" i="13" s="1"/>
  <c r="I820" i="13"/>
  <c r="J820" i="13" s="1"/>
  <c r="I824" i="13"/>
  <c r="J824" i="13" s="1"/>
  <c r="I828" i="13"/>
  <c r="J828" i="13" s="1"/>
  <c r="I832" i="13"/>
  <c r="J832" i="13" s="1"/>
  <c r="I836" i="13"/>
  <c r="J836" i="13" s="1"/>
  <c r="I840" i="13"/>
  <c r="J840" i="13" s="1"/>
  <c r="I844" i="13"/>
  <c r="J844" i="13" s="1"/>
  <c r="I848" i="13"/>
  <c r="J848" i="13" s="1"/>
  <c r="I852" i="13"/>
  <c r="J852" i="13" s="1"/>
  <c r="I796" i="13"/>
  <c r="I801" i="13"/>
  <c r="J801" i="13" s="1"/>
  <c r="I805" i="13"/>
  <c r="J805" i="13" s="1"/>
  <c r="I809" i="13"/>
  <c r="J809" i="13" s="1"/>
  <c r="I813" i="13"/>
  <c r="J813" i="13" s="1"/>
  <c r="I817" i="13"/>
  <c r="J817" i="13" s="1"/>
  <c r="I821" i="13"/>
  <c r="J821" i="13" s="1"/>
  <c r="I825" i="13"/>
  <c r="J825" i="13" s="1"/>
  <c r="I829" i="13"/>
  <c r="J829" i="13" s="1"/>
  <c r="I833" i="13"/>
  <c r="J833" i="13" s="1"/>
  <c r="I837" i="13"/>
  <c r="J837" i="13" s="1"/>
  <c r="I841" i="13"/>
  <c r="J841" i="13" s="1"/>
  <c r="I845" i="13"/>
  <c r="J845" i="13" s="1"/>
  <c r="I849" i="13"/>
  <c r="J849" i="13" s="1"/>
  <c r="I853" i="13"/>
  <c r="J853" i="13" s="1"/>
  <c r="I798" i="13"/>
  <c r="I802" i="13"/>
  <c r="J802" i="13" s="1"/>
  <c r="I806" i="13"/>
  <c r="J806" i="13" s="1"/>
  <c r="I810" i="13"/>
  <c r="J810" i="13" s="1"/>
  <c r="I814" i="13"/>
  <c r="J814" i="13" s="1"/>
  <c r="I818" i="13"/>
  <c r="J818" i="13" s="1"/>
  <c r="I822" i="13"/>
  <c r="J822" i="13" s="1"/>
  <c r="I826" i="13"/>
  <c r="J826" i="13" s="1"/>
  <c r="I830" i="13"/>
  <c r="J830" i="13" s="1"/>
  <c r="I834" i="13"/>
  <c r="J834" i="13" s="1"/>
  <c r="I838" i="13"/>
  <c r="J838" i="13" s="1"/>
  <c r="I842" i="13"/>
  <c r="J842" i="13" s="1"/>
  <c r="I846" i="13"/>
  <c r="J846" i="13" s="1"/>
  <c r="I850" i="13"/>
  <c r="J850" i="13" s="1"/>
  <c r="I854" i="13"/>
  <c r="J854" i="13" s="1"/>
  <c r="I799" i="13"/>
  <c r="I803" i="13"/>
  <c r="J803" i="13" s="1"/>
  <c r="I807" i="13"/>
  <c r="J807" i="13" s="1"/>
  <c r="I811" i="13"/>
  <c r="J811" i="13" s="1"/>
  <c r="I815" i="13"/>
  <c r="J815" i="13" s="1"/>
  <c r="I819" i="13"/>
  <c r="J819" i="13" s="1"/>
  <c r="I823" i="13"/>
  <c r="J823" i="13" s="1"/>
  <c r="I827" i="13"/>
  <c r="J827" i="13" s="1"/>
  <c r="I831" i="13"/>
  <c r="J831" i="13" s="1"/>
  <c r="I835" i="13"/>
  <c r="J835" i="13" s="1"/>
  <c r="I839" i="13"/>
  <c r="J839" i="13" s="1"/>
  <c r="I843" i="13"/>
  <c r="J843" i="13" s="1"/>
  <c r="I847" i="13"/>
  <c r="J847" i="13" s="1"/>
  <c r="I851" i="13"/>
  <c r="J851" i="13" s="1"/>
  <c r="I855" i="13"/>
  <c r="J855" i="13" s="1"/>
  <c r="I883" i="13"/>
  <c r="I884" i="13"/>
  <c r="J884" i="13" s="1"/>
  <c r="I891" i="13"/>
  <c r="J891" i="13" s="1"/>
  <c r="I895" i="13"/>
  <c r="J895" i="13" s="1"/>
  <c r="I899" i="13"/>
  <c r="J899" i="13" s="1"/>
  <c r="I903" i="13"/>
  <c r="J903" i="13" s="1"/>
  <c r="I907" i="13"/>
  <c r="J907" i="13" s="1"/>
  <c r="I911" i="13"/>
  <c r="J911" i="13" s="1"/>
  <c r="I915" i="13"/>
  <c r="J915" i="13" s="1"/>
  <c r="I919" i="13"/>
  <c r="J919" i="13" s="1"/>
  <c r="I923" i="13"/>
  <c r="J923" i="13" s="1"/>
  <c r="I927" i="13"/>
  <c r="J927" i="13" s="1"/>
  <c r="I931" i="13"/>
  <c r="J931" i="13" s="1"/>
  <c r="I935" i="13"/>
  <c r="J935" i="13" s="1"/>
  <c r="I939" i="13"/>
  <c r="J939" i="13" s="1"/>
  <c r="I887" i="13"/>
  <c r="I888" i="13"/>
  <c r="I892" i="13"/>
  <c r="J892" i="13" s="1"/>
  <c r="I896" i="13"/>
  <c r="J896" i="13" s="1"/>
  <c r="I900" i="13"/>
  <c r="J900" i="13" s="1"/>
  <c r="I904" i="13"/>
  <c r="J904" i="13" s="1"/>
  <c r="I908" i="13"/>
  <c r="J908" i="13" s="1"/>
  <c r="I912" i="13"/>
  <c r="J912" i="13" s="1"/>
  <c r="I916" i="13"/>
  <c r="J916" i="13" s="1"/>
  <c r="I920" i="13"/>
  <c r="J920" i="13" s="1"/>
  <c r="I924" i="13"/>
  <c r="J924" i="13" s="1"/>
  <c r="I928" i="13"/>
  <c r="J928" i="13" s="1"/>
  <c r="I932" i="13"/>
  <c r="J932" i="13" s="1"/>
  <c r="I936" i="13"/>
  <c r="J936" i="13" s="1"/>
  <c r="I940" i="13"/>
  <c r="J940" i="13" s="1"/>
  <c r="I886" i="13"/>
  <c r="I889" i="13"/>
  <c r="J889" i="13" s="1"/>
  <c r="I893" i="13"/>
  <c r="J893" i="13" s="1"/>
  <c r="I897" i="13"/>
  <c r="J897" i="13" s="1"/>
  <c r="I901" i="13"/>
  <c r="J901" i="13" s="1"/>
  <c r="I905" i="13"/>
  <c r="J905" i="13" s="1"/>
  <c r="I909" i="13"/>
  <c r="J909" i="13" s="1"/>
  <c r="I913" i="13"/>
  <c r="J913" i="13" s="1"/>
  <c r="I917" i="13"/>
  <c r="J917" i="13" s="1"/>
  <c r="I921" i="13"/>
  <c r="J921" i="13" s="1"/>
  <c r="I925" i="13"/>
  <c r="J925" i="13" s="1"/>
  <c r="I929" i="13"/>
  <c r="J929" i="13" s="1"/>
  <c r="I933" i="13"/>
  <c r="J933" i="13" s="1"/>
  <c r="I937" i="13"/>
  <c r="J937" i="13" s="1"/>
  <c r="I941" i="13"/>
  <c r="J941" i="13" s="1"/>
  <c r="I885" i="13"/>
  <c r="J885" i="13" s="1"/>
  <c r="I890" i="13"/>
  <c r="J890" i="13" s="1"/>
  <c r="I894" i="13"/>
  <c r="J894" i="13" s="1"/>
  <c r="I898" i="13"/>
  <c r="J898" i="13" s="1"/>
  <c r="I902" i="13"/>
  <c r="J902" i="13" s="1"/>
  <c r="I906" i="13"/>
  <c r="J906" i="13" s="1"/>
  <c r="I910" i="13"/>
  <c r="J910" i="13" s="1"/>
  <c r="I914" i="13"/>
  <c r="J914" i="13" s="1"/>
  <c r="I918" i="13"/>
  <c r="J918" i="13" s="1"/>
  <c r="I922" i="13"/>
  <c r="J922" i="13" s="1"/>
  <c r="I926" i="13"/>
  <c r="J926" i="13" s="1"/>
  <c r="I930" i="13"/>
  <c r="J930" i="13" s="1"/>
  <c r="I934" i="13"/>
  <c r="J934" i="13" s="1"/>
  <c r="I938" i="13"/>
  <c r="J938" i="13" s="1"/>
  <c r="I942" i="13"/>
  <c r="J942" i="13" s="1"/>
  <c r="I362" i="13"/>
  <c r="I363" i="13"/>
  <c r="I369" i="13"/>
  <c r="J369" i="13" s="1"/>
  <c r="I373" i="13"/>
  <c r="J373" i="13" s="1"/>
  <c r="I377" i="13"/>
  <c r="J377" i="13" s="1"/>
  <c r="I381" i="13"/>
  <c r="J381" i="13" s="1"/>
  <c r="I385" i="13"/>
  <c r="J385" i="13" s="1"/>
  <c r="I389" i="13"/>
  <c r="J389" i="13" s="1"/>
  <c r="I393" i="13"/>
  <c r="J393" i="13" s="1"/>
  <c r="I397" i="13"/>
  <c r="J397" i="13" s="1"/>
  <c r="I401" i="13"/>
  <c r="J401" i="13" s="1"/>
  <c r="I405" i="13"/>
  <c r="J405" i="13" s="1"/>
  <c r="I409" i="13"/>
  <c r="J409" i="13" s="1"/>
  <c r="I413" i="13"/>
  <c r="J413" i="13" s="1"/>
  <c r="I417" i="13"/>
  <c r="J417" i="13" s="1"/>
  <c r="I365" i="13"/>
  <c r="I366" i="13"/>
  <c r="I370" i="13"/>
  <c r="J370" i="13" s="1"/>
  <c r="I374" i="13"/>
  <c r="J374" i="13" s="1"/>
  <c r="I378" i="13"/>
  <c r="J378" i="13" s="1"/>
  <c r="I382" i="13"/>
  <c r="J382" i="13" s="1"/>
  <c r="I386" i="13"/>
  <c r="J386" i="13" s="1"/>
  <c r="I390" i="13"/>
  <c r="J390" i="13" s="1"/>
  <c r="I394" i="13"/>
  <c r="J394" i="13" s="1"/>
  <c r="I398" i="13"/>
  <c r="J398" i="13" s="1"/>
  <c r="I402" i="13"/>
  <c r="J402" i="13" s="1"/>
  <c r="I406" i="13"/>
  <c r="J406" i="13" s="1"/>
  <c r="I410" i="13"/>
  <c r="J410" i="13" s="1"/>
  <c r="I414" i="13"/>
  <c r="J414" i="13" s="1"/>
  <c r="I418" i="13"/>
  <c r="J418" i="13" s="1"/>
  <c r="I364" i="13"/>
  <c r="I367" i="13"/>
  <c r="I371" i="13"/>
  <c r="J371" i="13" s="1"/>
  <c r="I375" i="13"/>
  <c r="J375" i="13" s="1"/>
  <c r="I379" i="13"/>
  <c r="J379" i="13" s="1"/>
  <c r="I383" i="13"/>
  <c r="J383" i="13" s="1"/>
  <c r="I387" i="13"/>
  <c r="J387" i="13" s="1"/>
  <c r="I391" i="13"/>
  <c r="J391" i="13" s="1"/>
  <c r="I395" i="13"/>
  <c r="J395" i="13" s="1"/>
  <c r="I399" i="13"/>
  <c r="J399" i="13" s="1"/>
  <c r="I403" i="13"/>
  <c r="J403" i="13" s="1"/>
  <c r="I407" i="13"/>
  <c r="J407" i="13" s="1"/>
  <c r="I411" i="13"/>
  <c r="J411" i="13" s="1"/>
  <c r="I415" i="13"/>
  <c r="J415" i="13" s="1"/>
  <c r="I419" i="13"/>
  <c r="J419" i="13" s="1"/>
  <c r="I361" i="13"/>
  <c r="I368" i="13"/>
  <c r="I372" i="13"/>
  <c r="J372" i="13" s="1"/>
  <c r="I376" i="13"/>
  <c r="J376" i="13" s="1"/>
  <c r="I380" i="13"/>
  <c r="J380" i="13" s="1"/>
  <c r="I384" i="13"/>
  <c r="J384" i="13" s="1"/>
  <c r="I388" i="13"/>
  <c r="J388" i="13" s="1"/>
  <c r="I392" i="13"/>
  <c r="J392" i="13" s="1"/>
  <c r="I396" i="13"/>
  <c r="J396" i="13" s="1"/>
  <c r="I400" i="13"/>
  <c r="J400" i="13" s="1"/>
  <c r="I404" i="13"/>
  <c r="J404" i="13" s="1"/>
  <c r="I408" i="13"/>
  <c r="J408" i="13" s="1"/>
  <c r="I412" i="13"/>
  <c r="J412" i="13" s="1"/>
  <c r="I416" i="13"/>
  <c r="J416" i="13" s="1"/>
  <c r="I420" i="13"/>
  <c r="J420" i="13" s="1"/>
  <c r="M535" i="13"/>
  <c r="H595" i="13"/>
  <c r="G519" i="20"/>
  <c r="G340" i="20"/>
  <c r="G966" i="20"/>
  <c r="M26" i="20"/>
  <c r="G697" i="20"/>
  <c r="M89" i="13"/>
  <c r="M109" i="13"/>
  <c r="M263" i="13"/>
  <c r="M264" i="13" s="1"/>
  <c r="M282" i="13"/>
  <c r="M274" i="13"/>
  <c r="H334" i="13"/>
  <c r="M448" i="13"/>
  <c r="H508" i="13"/>
  <c r="M709" i="13"/>
  <c r="H769" i="13"/>
  <c r="M698" i="13"/>
  <c r="M699" i="13" s="1"/>
  <c r="M714" i="13"/>
  <c r="H943" i="13"/>
  <c r="M540" i="13"/>
  <c r="M524" i="13"/>
  <c r="M525" i="13" s="1"/>
  <c r="G251" i="20"/>
  <c r="G875" i="20"/>
  <c r="G161" i="20"/>
  <c r="I100" i="13"/>
  <c r="I104" i="13"/>
  <c r="I108" i="13"/>
  <c r="I112" i="13"/>
  <c r="J112" i="13" s="1"/>
  <c r="I116" i="13"/>
  <c r="J116" i="13" s="1"/>
  <c r="I120" i="13"/>
  <c r="J120" i="13" s="1"/>
  <c r="I124" i="13"/>
  <c r="J124" i="13" s="1"/>
  <c r="I128" i="13"/>
  <c r="J128" i="13" s="1"/>
  <c r="I132" i="13"/>
  <c r="J132" i="13" s="1"/>
  <c r="I136" i="13"/>
  <c r="J136" i="13" s="1"/>
  <c r="I140" i="13"/>
  <c r="J140" i="13" s="1"/>
  <c r="I144" i="13"/>
  <c r="J144" i="13" s="1"/>
  <c r="I148" i="13"/>
  <c r="J148" i="13" s="1"/>
  <c r="I152" i="13"/>
  <c r="J152" i="13" s="1"/>
  <c r="I156" i="13"/>
  <c r="J156" i="13" s="1"/>
  <c r="I102" i="13"/>
  <c r="J102" i="13" s="1"/>
  <c r="I105" i="13"/>
  <c r="I109" i="13"/>
  <c r="I113" i="13"/>
  <c r="J113" i="13" s="1"/>
  <c r="I117" i="13"/>
  <c r="J117" i="13" s="1"/>
  <c r="I121" i="13"/>
  <c r="J121" i="13" s="1"/>
  <c r="I125" i="13"/>
  <c r="J125" i="13" s="1"/>
  <c r="I129" i="13"/>
  <c r="J129" i="13" s="1"/>
  <c r="I133" i="13"/>
  <c r="J133" i="13" s="1"/>
  <c r="I137" i="13"/>
  <c r="J137" i="13" s="1"/>
  <c r="I141" i="13"/>
  <c r="J141" i="13" s="1"/>
  <c r="I145" i="13"/>
  <c r="J145" i="13" s="1"/>
  <c r="I149" i="13"/>
  <c r="J149" i="13" s="1"/>
  <c r="I153" i="13"/>
  <c r="J153" i="13" s="1"/>
  <c r="I157" i="13"/>
  <c r="J157" i="13" s="1"/>
  <c r="I101" i="13"/>
  <c r="J101" i="13" s="1"/>
  <c r="I106" i="13"/>
  <c r="I110" i="13"/>
  <c r="J110" i="13" s="1"/>
  <c r="I114" i="13"/>
  <c r="J114" i="13" s="1"/>
  <c r="I118" i="13"/>
  <c r="J118" i="13" s="1"/>
  <c r="I122" i="13"/>
  <c r="J122" i="13" s="1"/>
  <c r="I126" i="13"/>
  <c r="J126" i="13" s="1"/>
  <c r="I130" i="13"/>
  <c r="J130" i="13" s="1"/>
  <c r="I134" i="13"/>
  <c r="J134" i="13" s="1"/>
  <c r="I138" i="13"/>
  <c r="J138" i="13" s="1"/>
  <c r="I142" i="13"/>
  <c r="J142" i="13" s="1"/>
  <c r="I146" i="13"/>
  <c r="J146" i="13" s="1"/>
  <c r="I150" i="13"/>
  <c r="J150" i="13" s="1"/>
  <c r="I154" i="13"/>
  <c r="J154" i="13" s="1"/>
  <c r="I158" i="13"/>
  <c r="J158" i="13" s="1"/>
  <c r="I103" i="13"/>
  <c r="J103" i="13" s="1"/>
  <c r="I107" i="13"/>
  <c r="I111" i="13"/>
  <c r="J111" i="13" s="1"/>
  <c r="I115" i="13"/>
  <c r="J115" i="13" s="1"/>
  <c r="I119" i="13"/>
  <c r="J119" i="13" s="1"/>
  <c r="I123" i="13"/>
  <c r="J123" i="13" s="1"/>
  <c r="I127" i="13"/>
  <c r="J127" i="13" s="1"/>
  <c r="I131" i="13"/>
  <c r="J131" i="13" s="1"/>
  <c r="I135" i="13"/>
  <c r="J135" i="13" s="1"/>
  <c r="I151" i="13"/>
  <c r="J151" i="13" s="1"/>
  <c r="I139" i="13"/>
  <c r="J139" i="13" s="1"/>
  <c r="I155" i="13"/>
  <c r="J155" i="13" s="1"/>
  <c r="I143" i="13"/>
  <c r="J143" i="13" s="1"/>
  <c r="I159" i="13"/>
  <c r="J159" i="13" s="1"/>
  <c r="I147" i="13"/>
  <c r="J147" i="13" s="1"/>
  <c r="M187" i="13"/>
  <c r="H247" i="13"/>
  <c r="M627" i="13"/>
  <c r="M611" i="13"/>
  <c r="M612" i="13" s="1"/>
  <c r="M796" i="13"/>
  <c r="H856" i="13"/>
  <c r="G786" i="20"/>
  <c r="G608" i="20"/>
  <c r="I276" i="13"/>
  <c r="I280" i="13"/>
  <c r="I284" i="13"/>
  <c r="J284" i="13" s="1"/>
  <c r="I288" i="13"/>
  <c r="J288" i="13" s="1"/>
  <c r="I292" i="13"/>
  <c r="J292" i="13" s="1"/>
  <c r="I296" i="13"/>
  <c r="J296" i="13" s="1"/>
  <c r="I300" i="13"/>
  <c r="J300" i="13" s="1"/>
  <c r="I304" i="13"/>
  <c r="J304" i="13" s="1"/>
  <c r="I308" i="13"/>
  <c r="J308" i="13" s="1"/>
  <c r="I312" i="13"/>
  <c r="J312" i="13" s="1"/>
  <c r="I316" i="13"/>
  <c r="J316" i="13" s="1"/>
  <c r="I320" i="13"/>
  <c r="J320" i="13" s="1"/>
  <c r="I324" i="13"/>
  <c r="J324" i="13" s="1"/>
  <c r="I328" i="13"/>
  <c r="J328" i="13" s="1"/>
  <c r="I332" i="13"/>
  <c r="J332" i="13" s="1"/>
  <c r="I274" i="13"/>
  <c r="I281" i="13"/>
  <c r="I285" i="13"/>
  <c r="J285" i="13" s="1"/>
  <c r="I289" i="13"/>
  <c r="J289" i="13" s="1"/>
  <c r="I293" i="13"/>
  <c r="J293" i="13" s="1"/>
  <c r="I297" i="13"/>
  <c r="J297" i="13" s="1"/>
  <c r="I301" i="13"/>
  <c r="J301" i="13" s="1"/>
  <c r="I305" i="13"/>
  <c r="J305" i="13" s="1"/>
  <c r="I309" i="13"/>
  <c r="J309" i="13" s="1"/>
  <c r="I313" i="13"/>
  <c r="J313" i="13" s="1"/>
  <c r="I317" i="13"/>
  <c r="J317" i="13" s="1"/>
  <c r="I321" i="13"/>
  <c r="J321" i="13" s="1"/>
  <c r="I325" i="13"/>
  <c r="J325" i="13" s="1"/>
  <c r="I329" i="13"/>
  <c r="J329" i="13" s="1"/>
  <c r="I333" i="13"/>
  <c r="J333" i="13" s="1"/>
  <c r="I275" i="13"/>
  <c r="I278" i="13"/>
  <c r="I282" i="13"/>
  <c r="I286" i="13"/>
  <c r="J286" i="13" s="1"/>
  <c r="I290" i="13"/>
  <c r="J290" i="13" s="1"/>
  <c r="I294" i="13"/>
  <c r="J294" i="13" s="1"/>
  <c r="I298" i="13"/>
  <c r="J298" i="13" s="1"/>
  <c r="I302" i="13"/>
  <c r="J302" i="13" s="1"/>
  <c r="I306" i="13"/>
  <c r="J306" i="13" s="1"/>
  <c r="I310" i="13"/>
  <c r="J310" i="13" s="1"/>
  <c r="I314" i="13"/>
  <c r="J314" i="13" s="1"/>
  <c r="I318" i="13"/>
  <c r="J318" i="13" s="1"/>
  <c r="I322" i="13"/>
  <c r="J322" i="13" s="1"/>
  <c r="I326" i="13"/>
  <c r="J326" i="13" s="1"/>
  <c r="I330" i="13"/>
  <c r="J330" i="13" s="1"/>
  <c r="I277" i="13"/>
  <c r="I279" i="13"/>
  <c r="I283" i="13"/>
  <c r="J283" i="13" s="1"/>
  <c r="I287" i="13"/>
  <c r="J287" i="13" s="1"/>
  <c r="I291" i="13"/>
  <c r="J291" i="13" s="1"/>
  <c r="I295" i="13"/>
  <c r="J295" i="13" s="1"/>
  <c r="I299" i="13"/>
  <c r="J299" i="13" s="1"/>
  <c r="I303" i="13"/>
  <c r="J303" i="13" s="1"/>
  <c r="I307" i="13"/>
  <c r="J307" i="13" s="1"/>
  <c r="I311" i="13"/>
  <c r="J311" i="13" s="1"/>
  <c r="I315" i="13"/>
  <c r="J315" i="13" s="1"/>
  <c r="I319" i="13"/>
  <c r="J319" i="13" s="1"/>
  <c r="I323" i="13"/>
  <c r="J323" i="13" s="1"/>
  <c r="I327" i="13"/>
  <c r="J327" i="13" s="1"/>
  <c r="I331" i="13"/>
  <c r="J331" i="13" s="1"/>
  <c r="I449" i="13"/>
  <c r="I455" i="13"/>
  <c r="J455" i="13" s="1"/>
  <c r="I459" i="13"/>
  <c r="J459" i="13" s="1"/>
  <c r="I463" i="13"/>
  <c r="J463" i="13" s="1"/>
  <c r="I467" i="13"/>
  <c r="J467" i="13" s="1"/>
  <c r="I471" i="13"/>
  <c r="J471" i="13" s="1"/>
  <c r="I475" i="13"/>
  <c r="J475" i="13" s="1"/>
  <c r="I479" i="13"/>
  <c r="J479" i="13" s="1"/>
  <c r="I483" i="13"/>
  <c r="J483" i="13" s="1"/>
  <c r="I487" i="13"/>
  <c r="J487" i="13" s="1"/>
  <c r="I491" i="13"/>
  <c r="J491" i="13" s="1"/>
  <c r="I495" i="13"/>
  <c r="J495" i="13" s="1"/>
  <c r="I499" i="13"/>
  <c r="J499" i="13" s="1"/>
  <c r="I503" i="13"/>
  <c r="J503" i="13" s="1"/>
  <c r="I507" i="13"/>
  <c r="J507" i="13" s="1"/>
  <c r="I448" i="13"/>
  <c r="I451" i="13"/>
  <c r="I456" i="13"/>
  <c r="J456" i="13" s="1"/>
  <c r="I460" i="13"/>
  <c r="J460" i="13" s="1"/>
  <c r="I464" i="13"/>
  <c r="J464" i="13" s="1"/>
  <c r="I468" i="13"/>
  <c r="J468" i="13" s="1"/>
  <c r="I472" i="13"/>
  <c r="J472" i="13" s="1"/>
  <c r="I476" i="13"/>
  <c r="J476" i="13" s="1"/>
  <c r="I480" i="13"/>
  <c r="J480" i="13" s="1"/>
  <c r="I484" i="13"/>
  <c r="J484" i="13" s="1"/>
  <c r="I488" i="13"/>
  <c r="J488" i="13" s="1"/>
  <c r="I492" i="13"/>
  <c r="J492" i="13" s="1"/>
  <c r="I496" i="13"/>
  <c r="J496" i="13" s="1"/>
  <c r="I500" i="13"/>
  <c r="J500" i="13" s="1"/>
  <c r="I504" i="13"/>
  <c r="J504" i="13" s="1"/>
  <c r="I452" i="13"/>
  <c r="I453" i="13"/>
  <c r="I457" i="13"/>
  <c r="J457" i="13" s="1"/>
  <c r="I461" i="13"/>
  <c r="J461" i="13" s="1"/>
  <c r="I465" i="13"/>
  <c r="J465" i="13" s="1"/>
  <c r="I469" i="13"/>
  <c r="J469" i="13" s="1"/>
  <c r="I473" i="13"/>
  <c r="J473" i="13" s="1"/>
  <c r="I477" i="13"/>
  <c r="J477" i="13" s="1"/>
  <c r="I481" i="13"/>
  <c r="J481" i="13" s="1"/>
  <c r="I485" i="13"/>
  <c r="J485" i="13" s="1"/>
  <c r="I489" i="13"/>
  <c r="J489" i="13" s="1"/>
  <c r="I493" i="13"/>
  <c r="J493" i="13" s="1"/>
  <c r="I497" i="13"/>
  <c r="J497" i="13" s="1"/>
  <c r="I501" i="13"/>
  <c r="J501" i="13" s="1"/>
  <c r="I505" i="13"/>
  <c r="J505" i="13" s="1"/>
  <c r="I450" i="13"/>
  <c r="I454" i="13"/>
  <c r="J454" i="13" s="1"/>
  <c r="I458" i="13"/>
  <c r="J458" i="13" s="1"/>
  <c r="I462" i="13"/>
  <c r="J462" i="13" s="1"/>
  <c r="I466" i="13"/>
  <c r="J466" i="13" s="1"/>
  <c r="I470" i="13"/>
  <c r="J470" i="13" s="1"/>
  <c r="I474" i="13"/>
  <c r="J474" i="13" s="1"/>
  <c r="I478" i="13"/>
  <c r="J478" i="13" s="1"/>
  <c r="I482" i="13"/>
  <c r="J482" i="13" s="1"/>
  <c r="I486" i="13"/>
  <c r="J486" i="13" s="1"/>
  <c r="I490" i="13"/>
  <c r="J490" i="13" s="1"/>
  <c r="I494" i="13"/>
  <c r="J494" i="13" s="1"/>
  <c r="I498" i="13"/>
  <c r="J498" i="13" s="1"/>
  <c r="I502" i="13"/>
  <c r="J502" i="13" s="1"/>
  <c r="I506" i="13"/>
  <c r="J506" i="13" s="1"/>
  <c r="I710" i="13"/>
  <c r="I721" i="13"/>
  <c r="J721" i="13" s="1"/>
  <c r="I745" i="13"/>
  <c r="J745" i="13" s="1"/>
  <c r="I729" i="13"/>
  <c r="J729" i="13" s="1"/>
  <c r="I752" i="13"/>
  <c r="J752" i="13" s="1"/>
  <c r="I760" i="13"/>
  <c r="J760" i="13" s="1"/>
  <c r="I749" i="13"/>
  <c r="J749" i="13" s="1"/>
  <c r="I709" i="13"/>
  <c r="I740" i="13"/>
  <c r="J740" i="13" s="1"/>
  <c r="I755" i="13"/>
  <c r="J755" i="13" s="1"/>
  <c r="I739" i="13"/>
  <c r="J739" i="13" s="1"/>
  <c r="I723" i="13"/>
  <c r="J723" i="13" s="1"/>
  <c r="I758" i="13"/>
  <c r="J758" i="13" s="1"/>
  <c r="I742" i="13"/>
  <c r="J742" i="13" s="1"/>
  <c r="I726" i="13"/>
  <c r="J726" i="13" s="1"/>
  <c r="I713" i="13"/>
  <c r="I736" i="13"/>
  <c r="J736" i="13" s="1"/>
  <c r="I744" i="13"/>
  <c r="J744" i="13" s="1"/>
  <c r="I733" i="13"/>
  <c r="J733" i="13" s="1"/>
  <c r="I764" i="13"/>
  <c r="J764" i="13" s="1"/>
  <c r="I732" i="13"/>
  <c r="J732" i="13" s="1"/>
  <c r="I767" i="13"/>
  <c r="J767" i="13" s="1"/>
  <c r="I751" i="13"/>
  <c r="J751" i="13" s="1"/>
  <c r="I735" i="13"/>
  <c r="J735" i="13" s="1"/>
  <c r="I719" i="13"/>
  <c r="J719" i="13" s="1"/>
  <c r="I754" i="13"/>
  <c r="J754" i="13" s="1"/>
  <c r="I738" i="13"/>
  <c r="J738" i="13" s="1"/>
  <c r="I722" i="13"/>
  <c r="J722" i="13" s="1"/>
  <c r="I753" i="13"/>
  <c r="J753" i="13" s="1"/>
  <c r="I737" i="13"/>
  <c r="J737" i="13" s="1"/>
  <c r="I720" i="13"/>
  <c r="J720" i="13" s="1"/>
  <c r="I728" i="13"/>
  <c r="J728" i="13" s="1"/>
  <c r="I765" i="13"/>
  <c r="J765" i="13" s="1"/>
  <c r="I725" i="13"/>
  <c r="J725" i="13" s="1"/>
  <c r="I756" i="13"/>
  <c r="J756" i="13" s="1"/>
  <c r="I724" i="13"/>
  <c r="J724" i="13" s="1"/>
  <c r="I763" i="13"/>
  <c r="J763" i="13" s="1"/>
  <c r="I747" i="13"/>
  <c r="J747" i="13" s="1"/>
  <c r="I731" i="13"/>
  <c r="J731" i="13" s="1"/>
  <c r="I715" i="13"/>
  <c r="J715" i="13" s="1"/>
  <c r="I766" i="13"/>
  <c r="J766" i="13" s="1"/>
  <c r="I750" i="13"/>
  <c r="J750" i="13" s="1"/>
  <c r="I734" i="13"/>
  <c r="J734" i="13" s="1"/>
  <c r="I718" i="13"/>
  <c r="J718" i="13" s="1"/>
  <c r="I761" i="13"/>
  <c r="J761" i="13" s="1"/>
  <c r="I768" i="13"/>
  <c r="J768" i="13" s="1"/>
  <c r="I741" i="13"/>
  <c r="J741" i="13" s="1"/>
  <c r="I712" i="13"/>
  <c r="I757" i="13"/>
  <c r="J757" i="13" s="1"/>
  <c r="I717" i="13"/>
  <c r="J717" i="13" s="1"/>
  <c r="I748" i="13"/>
  <c r="J748" i="13" s="1"/>
  <c r="I716" i="13"/>
  <c r="J716" i="13" s="1"/>
  <c r="I759" i="13"/>
  <c r="J759" i="13" s="1"/>
  <c r="I743" i="13"/>
  <c r="J743" i="13" s="1"/>
  <c r="I727" i="13"/>
  <c r="J727" i="13" s="1"/>
  <c r="I711" i="13"/>
  <c r="I762" i="13"/>
  <c r="J762" i="13" s="1"/>
  <c r="I746" i="13"/>
  <c r="J746" i="13" s="1"/>
  <c r="I730" i="13"/>
  <c r="J730" i="13" s="1"/>
  <c r="I714" i="13"/>
  <c r="M888" i="13"/>
  <c r="M872" i="13"/>
  <c r="M873" i="13" s="1"/>
  <c r="M350" i="13"/>
  <c r="M351" i="13" s="1"/>
  <c r="M368" i="13"/>
  <c r="H421" i="13"/>
  <c r="I537" i="13"/>
  <c r="I539" i="13"/>
  <c r="I543" i="13"/>
  <c r="J543" i="13" s="1"/>
  <c r="I547" i="13"/>
  <c r="J547" i="13" s="1"/>
  <c r="I551" i="13"/>
  <c r="J551" i="13" s="1"/>
  <c r="I555" i="13"/>
  <c r="J555" i="13" s="1"/>
  <c r="I559" i="13"/>
  <c r="J559" i="13" s="1"/>
  <c r="I563" i="13"/>
  <c r="J563" i="13" s="1"/>
  <c r="I567" i="13"/>
  <c r="J567" i="13" s="1"/>
  <c r="I571" i="13"/>
  <c r="J571" i="13" s="1"/>
  <c r="I575" i="13"/>
  <c r="J575" i="13" s="1"/>
  <c r="I579" i="13"/>
  <c r="J579" i="13" s="1"/>
  <c r="I538" i="13"/>
  <c r="I540" i="13"/>
  <c r="I544" i="13"/>
  <c r="J544" i="13" s="1"/>
  <c r="I548" i="13"/>
  <c r="J548" i="13" s="1"/>
  <c r="I552" i="13"/>
  <c r="J552" i="13" s="1"/>
  <c r="I556" i="13"/>
  <c r="J556" i="13" s="1"/>
  <c r="I560" i="13"/>
  <c r="J560" i="13" s="1"/>
  <c r="I564" i="13"/>
  <c r="J564" i="13" s="1"/>
  <c r="I568" i="13"/>
  <c r="J568" i="13" s="1"/>
  <c r="I572" i="13"/>
  <c r="J572" i="13" s="1"/>
  <c r="I576" i="13"/>
  <c r="J576" i="13" s="1"/>
  <c r="I580" i="13"/>
  <c r="J580" i="13" s="1"/>
  <c r="I584" i="13"/>
  <c r="J584" i="13" s="1"/>
  <c r="I535" i="13"/>
  <c r="I541" i="13"/>
  <c r="J541" i="13" s="1"/>
  <c r="I545" i="13"/>
  <c r="J545" i="13" s="1"/>
  <c r="I549" i="13"/>
  <c r="J549" i="13" s="1"/>
  <c r="I553" i="13"/>
  <c r="J553" i="13" s="1"/>
  <c r="I557" i="13"/>
  <c r="J557" i="13" s="1"/>
  <c r="I561" i="13"/>
  <c r="J561" i="13" s="1"/>
  <c r="I565" i="13"/>
  <c r="J565" i="13" s="1"/>
  <c r="I569" i="13"/>
  <c r="J569" i="13" s="1"/>
  <c r="I573" i="13"/>
  <c r="J573" i="13" s="1"/>
  <c r="I577" i="13"/>
  <c r="J577" i="13" s="1"/>
  <c r="I581" i="13"/>
  <c r="J581" i="13" s="1"/>
  <c r="I585" i="13"/>
  <c r="J585" i="13" s="1"/>
  <c r="I542" i="13"/>
  <c r="J542" i="13" s="1"/>
  <c r="I558" i="13"/>
  <c r="J558" i="13" s="1"/>
  <c r="I574" i="13"/>
  <c r="J574" i="13" s="1"/>
  <c r="I586" i="13"/>
  <c r="J586" i="13" s="1"/>
  <c r="I590" i="13"/>
  <c r="J590" i="13" s="1"/>
  <c r="I594" i="13"/>
  <c r="J594" i="13" s="1"/>
  <c r="I546" i="13"/>
  <c r="J546" i="13" s="1"/>
  <c r="I562" i="13"/>
  <c r="J562" i="13" s="1"/>
  <c r="I578" i="13"/>
  <c r="J578" i="13" s="1"/>
  <c r="I587" i="13"/>
  <c r="J587" i="13" s="1"/>
  <c r="I591" i="13"/>
  <c r="J591" i="13" s="1"/>
  <c r="I550" i="13"/>
  <c r="J550" i="13" s="1"/>
  <c r="I566" i="13"/>
  <c r="J566" i="13" s="1"/>
  <c r="I582" i="13"/>
  <c r="J582" i="13" s="1"/>
  <c r="I588" i="13"/>
  <c r="J588" i="13" s="1"/>
  <c r="I592" i="13"/>
  <c r="J592" i="13" s="1"/>
  <c r="I536" i="13"/>
  <c r="I554" i="13"/>
  <c r="J554" i="13" s="1"/>
  <c r="I570" i="13"/>
  <c r="J570" i="13" s="1"/>
  <c r="I583" i="13"/>
  <c r="J583" i="13" s="1"/>
  <c r="I589" i="13"/>
  <c r="J589" i="13" s="1"/>
  <c r="I593" i="13"/>
  <c r="J593" i="13" s="1"/>
  <c r="J710" i="13" l="1"/>
  <c r="O710" i="13"/>
  <c r="P710" i="13" s="1"/>
  <c r="O451" i="13"/>
  <c r="P451" i="13" s="1"/>
  <c r="J451" i="13"/>
  <c r="O449" i="13"/>
  <c r="P449" i="13" s="1"/>
  <c r="J449" i="13"/>
  <c r="N263" i="13"/>
  <c r="J282" i="13"/>
  <c r="O282" i="13"/>
  <c r="P282" i="13" s="1"/>
  <c r="O281" i="13"/>
  <c r="P281" i="13" s="1"/>
  <c r="J281" i="13"/>
  <c r="J276" i="13"/>
  <c r="O276" i="13"/>
  <c r="P276" i="13" s="1"/>
  <c r="J105" i="13"/>
  <c r="O105" i="13"/>
  <c r="P105" i="13" s="1"/>
  <c r="J100" i="13"/>
  <c r="I160" i="13"/>
  <c r="J361" i="13"/>
  <c r="I421" i="13"/>
  <c r="O363" i="13"/>
  <c r="P363" i="13" s="1"/>
  <c r="J363" i="13"/>
  <c r="J799" i="13"/>
  <c r="O799" i="13"/>
  <c r="P799" i="13" s="1"/>
  <c r="O800" i="13"/>
  <c r="P800" i="13" s="1"/>
  <c r="N785" i="13"/>
  <c r="J800" i="13"/>
  <c r="O626" i="13"/>
  <c r="P626" i="13" s="1"/>
  <c r="J626" i="13"/>
  <c r="J624" i="13"/>
  <c r="O624" i="13"/>
  <c r="P624" i="13" s="1"/>
  <c r="J192" i="13"/>
  <c r="O192" i="13"/>
  <c r="P192" i="13" s="1"/>
  <c r="J190" i="13"/>
  <c r="O190" i="13"/>
  <c r="P190" i="13" s="1"/>
  <c r="I731" i="20"/>
  <c r="N714" i="20"/>
  <c r="N715" i="20" s="1"/>
  <c r="I101" i="20"/>
  <c r="H161" i="20"/>
  <c r="I637" i="20"/>
  <c r="H697" i="20"/>
  <c r="N89" i="20"/>
  <c r="I110" i="20"/>
  <c r="I459" i="20"/>
  <c r="H519" i="20"/>
  <c r="J536" i="13"/>
  <c r="O536" i="13"/>
  <c r="P536" i="13" s="1"/>
  <c r="J714" i="13"/>
  <c r="O714" i="13"/>
  <c r="P714" i="13" s="1"/>
  <c r="N698" i="13"/>
  <c r="J711" i="13"/>
  <c r="O711" i="13"/>
  <c r="P711" i="13" s="1"/>
  <c r="J712" i="13"/>
  <c r="O712" i="13"/>
  <c r="P712" i="13" s="1"/>
  <c r="J713" i="13"/>
  <c r="O713" i="13"/>
  <c r="P713" i="13" s="1"/>
  <c r="J709" i="13"/>
  <c r="O709" i="13"/>
  <c r="P709" i="13" s="1"/>
  <c r="I769" i="13"/>
  <c r="N437" i="13"/>
  <c r="O453" i="13"/>
  <c r="P453" i="13" s="1"/>
  <c r="J453" i="13"/>
  <c r="O448" i="13"/>
  <c r="P448" i="13" s="1"/>
  <c r="J448" i="13"/>
  <c r="I508" i="13"/>
  <c r="O278" i="13"/>
  <c r="P278" i="13" s="1"/>
  <c r="J278" i="13"/>
  <c r="O274" i="13"/>
  <c r="P274" i="13" s="1"/>
  <c r="I334" i="13"/>
  <c r="J274" i="13"/>
  <c r="J106" i="13"/>
  <c r="O106" i="13"/>
  <c r="P106" i="13" s="1"/>
  <c r="J366" i="13"/>
  <c r="O366" i="13"/>
  <c r="P366" i="13" s="1"/>
  <c r="O362" i="13"/>
  <c r="P362" i="13" s="1"/>
  <c r="J362" i="13"/>
  <c r="N872" i="13"/>
  <c r="J888" i="13"/>
  <c r="O888" i="13"/>
  <c r="P888" i="13" s="1"/>
  <c r="J883" i="13"/>
  <c r="I943" i="13"/>
  <c r="O797" i="13"/>
  <c r="P797" i="13" s="1"/>
  <c r="J797" i="13"/>
  <c r="J627" i="13"/>
  <c r="O627" i="13"/>
  <c r="P627" i="13" s="1"/>
  <c r="N611" i="13"/>
  <c r="O625" i="13"/>
  <c r="P625" i="13" s="1"/>
  <c r="J625" i="13"/>
  <c r="O193" i="13"/>
  <c r="P193" i="13" s="1"/>
  <c r="J193" i="13"/>
  <c r="O187" i="13"/>
  <c r="P187" i="13" s="1"/>
  <c r="J187" i="13"/>
  <c r="I247" i="13"/>
  <c r="N179" i="20"/>
  <c r="N180" i="20" s="1"/>
  <c r="I199" i="20"/>
  <c r="I464" i="20"/>
  <c r="N447" i="20"/>
  <c r="N448" i="20" s="1"/>
  <c r="I815" i="20"/>
  <c r="H875" i="20"/>
  <c r="J535" i="13"/>
  <c r="I595" i="13"/>
  <c r="O535" i="13"/>
  <c r="P535" i="13" s="1"/>
  <c r="N524" i="13"/>
  <c r="O540" i="13"/>
  <c r="P540" i="13" s="1"/>
  <c r="J540" i="13"/>
  <c r="O539" i="13"/>
  <c r="P539" i="13" s="1"/>
  <c r="J539" i="13"/>
  <c r="J452" i="13"/>
  <c r="O452" i="13"/>
  <c r="P452" i="13" s="1"/>
  <c r="O279" i="13"/>
  <c r="P279" i="13" s="1"/>
  <c r="J279" i="13"/>
  <c r="O275" i="13"/>
  <c r="P275" i="13" s="1"/>
  <c r="J275" i="13"/>
  <c r="J107" i="13"/>
  <c r="O107" i="13"/>
  <c r="P107" i="13" s="1"/>
  <c r="J108" i="13"/>
  <c r="O108" i="13"/>
  <c r="P108" i="13" s="1"/>
  <c r="M90" i="13"/>
  <c r="N22" i="13"/>
  <c r="O367" i="13"/>
  <c r="P367" i="13" s="1"/>
  <c r="J367" i="13"/>
  <c r="J365" i="13"/>
  <c r="O365" i="13"/>
  <c r="P365" i="13" s="1"/>
  <c r="J887" i="13"/>
  <c r="O887" i="13"/>
  <c r="P887" i="13" s="1"/>
  <c r="J796" i="13"/>
  <c r="O796" i="13"/>
  <c r="P796" i="13" s="1"/>
  <c r="I856" i="13"/>
  <c r="O189" i="13"/>
  <c r="P189" i="13" s="1"/>
  <c r="J189" i="13"/>
  <c r="J195" i="13"/>
  <c r="O195" i="13"/>
  <c r="P195" i="13" s="1"/>
  <c r="N176" i="13"/>
  <c r="J194" i="13"/>
  <c r="O194" i="13"/>
  <c r="P194" i="13" s="1"/>
  <c r="I191" i="20"/>
  <c r="H251" i="20"/>
  <c r="I376" i="20"/>
  <c r="N357" i="20"/>
  <c r="N358" i="20" s="1"/>
  <c r="N894" i="20"/>
  <c r="N895" i="20" s="1"/>
  <c r="I911" i="20"/>
  <c r="O538" i="13"/>
  <c r="P538" i="13" s="1"/>
  <c r="J538" i="13"/>
  <c r="O537" i="13"/>
  <c r="P537" i="13" s="1"/>
  <c r="J537" i="13"/>
  <c r="O450" i="13"/>
  <c r="P450" i="13" s="1"/>
  <c r="J450" i="13"/>
  <c r="O277" i="13"/>
  <c r="P277" i="13" s="1"/>
  <c r="J277" i="13"/>
  <c r="J280" i="13"/>
  <c r="O280" i="13"/>
  <c r="P280" i="13" s="1"/>
  <c r="N89" i="13"/>
  <c r="J109" i="13"/>
  <c r="O109" i="13"/>
  <c r="P109" i="13" s="1"/>
  <c r="O104" i="13"/>
  <c r="P104" i="13" s="1"/>
  <c r="J104" i="13"/>
  <c r="N350" i="13"/>
  <c r="J368" i="13"/>
  <c r="O368" i="13"/>
  <c r="P368" i="13" s="1"/>
  <c r="O364" i="13"/>
  <c r="P364" i="13" s="1"/>
  <c r="J364" i="13"/>
  <c r="J886" i="13"/>
  <c r="O886" i="13"/>
  <c r="P886" i="13" s="1"/>
  <c r="J798" i="13"/>
  <c r="O798" i="13"/>
  <c r="P798" i="13" s="1"/>
  <c r="O623" i="13"/>
  <c r="P623" i="13" s="1"/>
  <c r="J623" i="13"/>
  <c r="J622" i="13"/>
  <c r="I682" i="13"/>
  <c r="O622" i="13"/>
  <c r="P622" i="13" s="1"/>
  <c r="O188" i="13"/>
  <c r="P188" i="13" s="1"/>
  <c r="J188" i="13"/>
  <c r="J191" i="13"/>
  <c r="O191" i="13"/>
  <c r="P191" i="13" s="1"/>
  <c r="N268" i="20"/>
  <c r="N269" i="20" s="1"/>
  <c r="I288" i="20"/>
  <c r="I280" i="20"/>
  <c r="H340" i="20"/>
  <c r="N625" i="20"/>
  <c r="N626" i="20" s="1"/>
  <c r="I642" i="20"/>
  <c r="I697" i="20" s="1"/>
  <c r="I548" i="20"/>
  <c r="H608" i="20"/>
  <c r="I819" i="20"/>
  <c r="N803" i="20"/>
  <c r="N804" i="20" s="1"/>
  <c r="I369" i="20"/>
  <c r="H429" i="20"/>
  <c r="I726" i="20"/>
  <c r="H786" i="20"/>
  <c r="N536" i="20"/>
  <c r="N537" i="20" s="1"/>
  <c r="I553" i="20"/>
  <c r="I906" i="20"/>
  <c r="H966" i="20"/>
  <c r="J769" i="13" l="1"/>
  <c r="I429" i="20"/>
  <c r="I966" i="20"/>
  <c r="I786" i="20"/>
  <c r="O350" i="13"/>
  <c r="O351" i="13" s="1"/>
  <c r="N351" i="13"/>
  <c r="N177" i="13"/>
  <c r="O176" i="13"/>
  <c r="O177" i="13" s="1"/>
  <c r="N873" i="13"/>
  <c r="O872" i="13"/>
  <c r="O873" i="13" s="1"/>
  <c r="J160" i="13"/>
  <c r="I340" i="20"/>
  <c r="J682" i="13"/>
  <c r="O89" i="13"/>
  <c r="O90" i="13" s="1"/>
  <c r="N90" i="13"/>
  <c r="J595" i="13"/>
  <c r="J247" i="13"/>
  <c r="J943" i="13"/>
  <c r="J508" i="13"/>
  <c r="O437" i="13"/>
  <c r="O438" i="13" s="1"/>
  <c r="N438" i="13"/>
  <c r="I519" i="20"/>
  <c r="N264" i="13"/>
  <c r="O263" i="13"/>
  <c r="O264" i="13" s="1"/>
  <c r="G24" i="2"/>
  <c r="L24" i="2" s="1"/>
  <c r="N23" i="13"/>
  <c r="N525" i="13"/>
  <c r="O524" i="13"/>
  <c r="O525" i="13" s="1"/>
  <c r="I251" i="20"/>
  <c r="I161" i="20"/>
  <c r="J421" i="13"/>
  <c r="I608" i="20"/>
  <c r="J856" i="13"/>
  <c r="I875" i="20"/>
  <c r="O611" i="13"/>
  <c r="O612" i="13" s="1"/>
  <c r="N612" i="13"/>
  <c r="J334" i="13"/>
  <c r="O22" i="13"/>
  <c r="N699" i="13"/>
  <c r="O698" i="13"/>
  <c r="O699" i="13" s="1"/>
  <c r="N90" i="20"/>
  <c r="N26" i="20"/>
  <c r="O26" i="20" s="1"/>
  <c r="L36" i="2" s="1"/>
  <c r="O785" i="13"/>
  <c r="O786" i="13" s="1"/>
  <c r="N786" i="13"/>
  <c r="P22" i="13" l="1"/>
  <c r="P23" i="13" s="1"/>
  <c r="O23" i="13"/>
</calcChain>
</file>

<file path=xl/sharedStrings.xml><?xml version="1.0" encoding="utf-8"?>
<sst xmlns="http://schemas.openxmlformats.org/spreadsheetml/2006/main" count="2832" uniqueCount="1040">
  <si>
    <t>Other Adjustments</t>
  </si>
  <si>
    <t xml:space="preserve">           Acct. 928 - Transmission Specific</t>
  </si>
  <si>
    <t>FERC FORM 1</t>
  </si>
  <si>
    <t>Tie-Back</t>
  </si>
  <si>
    <t>FERC FORM 1 Reference</t>
  </si>
  <si>
    <t>P.263 ln 6 (i)</t>
  </si>
  <si>
    <t>P.263 ln 27 (i)</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</si>
  <si>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</si>
  <si>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</si>
  <si>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</si>
  <si>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</si>
  <si>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</si>
  <si>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</si>
  <si>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</si>
  <si>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</si>
  <si>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</si>
  <si>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</si>
  <si>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</si>
  <si>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</si>
  <si>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</si>
  <si>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</si>
  <si>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</si>
  <si>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</si>
  <si>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</si>
  <si>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</si>
  <si>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</si>
  <si>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</si>
  <si>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</si>
  <si>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</si>
  <si>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</si>
  <si>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</si>
  <si>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</si>
  <si>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</si>
  <si>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</si>
  <si>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</si>
  <si>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</si>
  <si>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</si>
  <si>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</si>
  <si>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</si>
  <si>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</si>
  <si>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</si>
  <si>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</si>
  <si>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</si>
  <si>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</si>
  <si>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</si>
  <si>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</si>
  <si>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</si>
  <si>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</si>
  <si>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</si>
  <si>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</si>
  <si>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</si>
  <si>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</si>
  <si>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</si>
  <si>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</si>
  <si>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</si>
  <si>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</si>
  <si>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</si>
  <si>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</si>
  <si>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</si>
  <si>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</si>
  <si>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</si>
  <si>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</si>
  <si>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</si>
  <si>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</si>
  <si>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</si>
  <si>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</si>
  <si>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</si>
  <si>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</si>
  <si>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</si>
  <si>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</si>
  <si>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</si>
  <si>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</si>
  <si>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</si>
  <si>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</si>
  <si>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</si>
  <si>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</si>
  <si>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</si>
  <si>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</si>
  <si>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</si>
  <si>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</si>
  <si>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</si>
  <si>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</si>
  <si>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</si>
  <si>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</si>
  <si>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</si>
  <si>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</si>
  <si>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</si>
  <si>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</si>
  <si>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</si>
  <si>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</si>
  <si>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</si>
  <si>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</si>
  <si>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</si>
  <si>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</si>
  <si>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</si>
  <si>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</si>
  <si>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</si>
  <si>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</si>
  <si>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</si>
  <si>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</si>
  <si>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</si>
  <si>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</si>
  <si>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</si>
  <si>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</si>
  <si>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</si>
  <si>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</si>
  <si>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</si>
  <si>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</si>
  <si>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</si>
  <si>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</si>
  <si>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</si>
  <si>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</si>
  <si>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</si>
  <si>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</si>
  <si>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</si>
  <si>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</si>
  <si>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</si>
  <si>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</si>
  <si>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</si>
  <si>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</si>
  <si>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</si>
  <si>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</si>
  <si>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</si>
  <si>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</si>
  <si>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</si>
  <si>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</si>
  <si>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</si>
  <si>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</si>
  <si>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</si>
  <si>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</si>
  <si>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</si>
  <si>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</si>
  <si>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</si>
  <si>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</si>
  <si>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</si>
  <si>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</si>
  <si>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</si>
  <si>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</si>
  <si>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</si>
  <si>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</si>
  <si>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</si>
  <si>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</si>
  <si>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</si>
  <si>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</si>
  <si>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</si>
  <si>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</si>
  <si>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</si>
  <si>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</si>
  <si>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</si>
  <si>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</si>
  <si>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</si>
  <si>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</si>
  <si>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</si>
  <si>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</si>
  <si>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</si>
  <si>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</si>
  <si>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</si>
  <si>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</si>
  <si>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</si>
  <si>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</si>
  <si>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</si>
  <si>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</si>
  <si>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</si>
  <si>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</si>
  <si>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</si>
  <si>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</si>
  <si>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</si>
  <si>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</si>
  <si>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</si>
  <si>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</si>
  <si>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</si>
  <si>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</si>
  <si>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</si>
  <si>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</si>
  <si>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</si>
  <si>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</si>
  <si>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</si>
  <si>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</si>
  <si>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</si>
  <si>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</si>
  <si>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</si>
  <si>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</si>
  <si>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</si>
  <si>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</si>
  <si>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</si>
  <si>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</si>
  <si>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</si>
  <si>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</si>
  <si>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</si>
  <si>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</si>
  <si>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</si>
  <si>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</si>
  <si>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</si>
  <si>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</si>
  <si>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</si>
  <si>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</si>
  <si>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</si>
  <si>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</si>
  <si>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</si>
  <si>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</si>
  <si>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</si>
  <si>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</si>
  <si>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</si>
  <si>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</si>
  <si>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</si>
  <si>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</si>
  <si>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</si>
  <si>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</si>
  <si>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</si>
  <si>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</si>
  <si>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</si>
  <si>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</si>
  <si>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</si>
  <si>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</si>
  <si>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</si>
  <si>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</si>
  <si>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</si>
  <si>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</si>
  <si>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</si>
  <si>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</si>
  <si>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</si>
  <si>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</si>
  <si>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</si>
  <si>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</si>
  <si>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</si>
  <si>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</si>
  <si>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</si>
  <si>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</si>
  <si>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</si>
  <si>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</si>
  <si>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</si>
  <si>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</si>
  <si>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</si>
  <si>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</si>
  <si>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</si>
  <si>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</si>
  <si>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</si>
  <si>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</si>
  <si>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</si>
  <si>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</si>
  <si>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</si>
  <si>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</si>
  <si>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</si>
  <si>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</si>
  <si>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</si>
  <si>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</si>
  <si>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</si>
  <si>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</si>
  <si>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</si>
  <si>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</si>
  <si>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</si>
  <si>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</si>
  <si>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</si>
  <si>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</si>
  <si>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</si>
  <si>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</si>
  <si>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</si>
  <si>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</si>
  <si>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</si>
  <si>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</si>
  <si>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</si>
  <si>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</si>
  <si>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</si>
  <si>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</si>
  <si>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</si>
  <si>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</si>
  <si>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</si>
  <si>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</si>
  <si>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</si>
  <si>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</si>
  <si>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</si>
  <si>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</si>
  <si>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</si>
  <si>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</si>
  <si>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</si>
  <si>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</si>
  <si>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</si>
  <si>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</si>
  <si>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</si>
  <si>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</si>
  <si>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</si>
  <si>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</si>
  <si>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</si>
  <si>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</si>
  <si>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</si>
  <si>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</si>
  <si>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</si>
  <si>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</si>
  <si>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</si>
  <si>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</si>
  <si>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</si>
  <si>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</si>
  <si>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</si>
  <si>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</si>
  <si>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</si>
  <si>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</si>
  <si>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</si>
  <si>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</si>
  <si>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</si>
  <si>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</si>
  <si>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</si>
  <si>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</si>
  <si>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</si>
  <si>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</si>
  <si>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</si>
  <si>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</si>
  <si>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</si>
  <si>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</si>
  <si>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</si>
  <si>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</si>
  <si>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</si>
  <si>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</si>
  <si>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</si>
  <si>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</si>
  <si>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</si>
  <si>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</si>
  <si>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</si>
  <si>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</si>
  <si>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</si>
  <si>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</si>
  <si>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</si>
  <si>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</si>
  <si>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</si>
  <si>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</si>
  <si>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</si>
  <si>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</si>
  <si>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</si>
  <si>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</si>
  <si>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</si>
  <si>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</si>
  <si>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</si>
  <si>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</si>
  <si>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</si>
  <si>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</si>
  <si>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</si>
  <si>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</si>
  <si>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</si>
  <si>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</si>
  <si>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</si>
  <si>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</si>
  <si>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</si>
  <si>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</si>
  <si>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</si>
  <si>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</si>
  <si>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</si>
  <si>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</si>
  <si>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</si>
  <si>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</si>
  <si>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</si>
  <si>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</si>
  <si>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</si>
  <si>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</si>
  <si>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</si>
  <si>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</si>
  <si>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</si>
  <si>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</si>
  <si>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</si>
  <si>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</si>
  <si>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</si>
  <si>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</si>
  <si>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</si>
  <si>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</si>
  <si>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</si>
  <si>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</si>
  <si>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</si>
  <si>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</si>
  <si>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</si>
  <si>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</si>
  <si>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</si>
  <si>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</si>
  <si>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</si>
  <si>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</si>
  <si>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</si>
  <si>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</si>
  <si>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</si>
  <si>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</si>
  <si>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</si>
  <si>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</si>
  <si>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</si>
  <si>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</si>
  <si>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</si>
  <si>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</si>
  <si>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</si>
  <si>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</si>
  <si>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</si>
  <si>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</si>
  <si>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</si>
  <si>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</si>
  <si>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</si>
  <si>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</si>
  <si>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</si>
  <si>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</si>
  <si>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</si>
  <si>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</si>
  <si>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</si>
  <si>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</si>
  <si>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</si>
  <si>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</si>
  <si>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</si>
  <si>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</si>
  <si>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</si>
  <si>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</si>
  <si>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</si>
  <si>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</si>
  <si>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</si>
  <si>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</si>
  <si>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</si>
  <si>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</si>
  <si>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</si>
  <si>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</si>
  <si>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</si>
  <si>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</si>
  <si>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</si>
  <si>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</si>
  <si>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</si>
  <si>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</si>
  <si>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</si>
  <si>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</si>
  <si>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</si>
  <si>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</si>
  <si>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</si>
  <si>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</si>
  <si>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</si>
  <si>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</si>
  <si>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</si>
  <si>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</si>
  <si>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</si>
  <si>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</si>
  <si>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</si>
  <si>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</si>
  <si>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</si>
  <si>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</si>
  <si>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</si>
  <si>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</si>
  <si>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</si>
  <si>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</si>
  <si>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</si>
  <si>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</si>
  <si>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</si>
  <si>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</si>
  <si>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</si>
  <si>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</si>
  <si>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</si>
  <si>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</si>
  <si>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</si>
  <si>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</si>
  <si>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</si>
  <si>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</si>
  <si>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</si>
  <si>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</si>
  <si>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</si>
  <si>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</si>
  <si>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</si>
  <si>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</si>
  <si>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</si>
  <si>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</si>
  <si>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</si>
  <si>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</si>
  <si>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</si>
  <si>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</si>
  <si>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</si>
  <si>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</si>
  <si>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</si>
  <si>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</si>
  <si>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</si>
  <si>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</si>
  <si>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</si>
  <si>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</si>
  <si>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</si>
  <si>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</si>
  <si>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</si>
  <si>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</si>
  <si>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</si>
  <si>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</si>
  <si>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</si>
  <si>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</si>
  <si>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</si>
  <si>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</si>
  <si>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</si>
  <si>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</si>
  <si>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</si>
  <si>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</si>
  <si>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</si>
  <si>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</si>
  <si>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</si>
  <si>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</si>
  <si>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</si>
  <si>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</si>
  <si>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</si>
  <si>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</si>
  <si>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</si>
  <si>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</si>
  <si>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</si>
  <si>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</si>
  <si>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</si>
  <si>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</si>
  <si>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</si>
  <si>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</si>
  <si>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</si>
  <si>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</si>
  <si>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</si>
  <si>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</si>
  <si>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</si>
  <si>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</si>
  <si>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</si>
  <si>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</si>
  <si>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</si>
  <si>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</si>
  <si>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</si>
  <si>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</si>
  <si>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</si>
  <si>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</si>
  <si>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</si>
  <si>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</si>
  <si>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</si>
  <si>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</si>
  <si>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</si>
  <si>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</si>
  <si>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</si>
  <si>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</si>
  <si>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</si>
  <si>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</si>
  <si>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</si>
  <si>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</si>
  <si>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</si>
  <si>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</si>
  <si>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</si>
  <si>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</si>
  <si>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</si>
  <si>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</si>
  <si>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</si>
  <si>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</si>
  <si>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</si>
  <si>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</si>
  <si>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</si>
  <si>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</si>
  <si>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</si>
  <si>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</si>
  <si>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</si>
  <si>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</si>
  <si>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</si>
  <si>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</si>
  <si>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</si>
  <si>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</si>
  <si>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</si>
  <si>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</si>
  <si>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</si>
  <si>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</si>
  <si>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</si>
  <si>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</si>
  <si>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</si>
  <si>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</si>
  <si>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</si>
  <si>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</si>
  <si>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</si>
  <si>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</si>
  <si>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</si>
  <si>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</si>
  <si>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</si>
  <si>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</si>
  <si>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</si>
  <si>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</si>
  <si>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</si>
  <si>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</si>
  <si>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</si>
  <si>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</si>
  <si>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</si>
  <si>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</si>
  <si>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</si>
  <si>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</si>
  <si>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</si>
  <si>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</si>
  <si>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</si>
  <si>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</si>
  <si>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</si>
  <si>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</si>
  <si>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</si>
  <si>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</si>
  <si>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</si>
  <si>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</si>
  <si>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</si>
  <si>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</si>
  <si>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</si>
  <si>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</si>
  <si>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</si>
  <si>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</si>
  <si>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</si>
  <si>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</si>
  <si>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</si>
  <si>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</si>
  <si>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</si>
  <si>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</si>
  <si>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</si>
  <si>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</si>
  <si>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</si>
  <si>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</si>
  <si>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</si>
  <si>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</si>
  <si>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</si>
  <si>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</si>
  <si>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</si>
  <si>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</si>
  <si>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</si>
  <si>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</si>
  <si>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</si>
  <si>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</si>
  <si>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</si>
  <si>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</si>
  <si>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</si>
  <si>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</si>
  <si>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</si>
  <si>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</si>
  <si>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</si>
  <si>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</si>
  <si>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</si>
  <si>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</si>
  <si>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</si>
  <si>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</si>
  <si>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</si>
  <si>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</si>
  <si>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</si>
  <si>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</si>
  <si>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</si>
  <si>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</si>
  <si>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</si>
  <si>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</si>
  <si>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</si>
  <si>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</si>
  <si>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</si>
  <si>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</si>
  <si>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</si>
  <si>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</si>
  <si>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</si>
  <si>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</si>
  <si>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</si>
  <si>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</si>
  <si>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</si>
  <si>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</si>
  <si>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</si>
  <si>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</si>
  <si>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</si>
  <si>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</si>
  <si>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</si>
  <si>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</si>
  <si>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</si>
  <si>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</si>
  <si>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</si>
  <si>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</si>
  <si>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</si>
  <si>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</si>
  <si>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</si>
  <si>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</si>
  <si>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</si>
  <si>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</si>
  <si>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</si>
  <si>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</si>
  <si>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</si>
  <si>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</si>
  <si>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</si>
  <si>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</si>
  <si>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</si>
  <si>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</si>
  <si>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</si>
  <si>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</si>
  <si>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</si>
  <si>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</si>
  <si>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</si>
  <si>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</si>
  <si>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</si>
  <si>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</si>
  <si>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</si>
  <si>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</si>
  <si>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</si>
  <si>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</si>
  <si>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</si>
  <si>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</si>
  <si>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</si>
  <si>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</si>
  <si>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</si>
  <si>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</si>
  <si>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</si>
  <si>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</si>
  <si>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</si>
  <si>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</si>
  <si>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</si>
  <si>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</si>
  <si>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</si>
  <si>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</si>
  <si>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</si>
  <si>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</si>
  <si>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</si>
  <si>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</si>
  <si>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</si>
  <si>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</si>
  <si>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</si>
  <si>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</si>
  <si>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</si>
  <si>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</si>
  <si>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</si>
  <si>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</si>
  <si>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</si>
  <si>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</si>
  <si>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</si>
  <si>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</si>
  <si>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</si>
  <si>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</si>
  <si>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</si>
  <si>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</si>
  <si>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</si>
  <si>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</si>
  <si>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</si>
  <si>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</si>
  <si>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</si>
  <si>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</si>
  <si>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</si>
  <si>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</si>
  <si>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</si>
  <si>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</si>
  <si>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</si>
  <si>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</si>
  <si>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</si>
  <si>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</si>
  <si>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</si>
  <si>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</si>
  <si>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</si>
  <si>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</si>
  <si>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</si>
  <si>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Transmission Accumulated Depreciation net of GSU</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</si>
  <si>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</si>
  <si>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</si>
  <si>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</si>
  <si>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</si>
  <si>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</si>
  <si>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</si>
  <si>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</si>
  <si>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</si>
  <si>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</si>
  <si>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</si>
  <si>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</si>
  <si>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</si>
  <si>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</si>
  <si>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</si>
  <si>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</si>
  <si>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</si>
  <si>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</si>
  <si>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</si>
  <si>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</si>
  <si>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</si>
  <si>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</si>
  <si>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</si>
  <si>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</si>
  <si>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</si>
  <si>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</si>
  <si>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</si>
  <si>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</si>
  <si>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</si>
  <si>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</si>
  <si>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</si>
  <si>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</si>
  <si>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</si>
  <si>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</si>
  <si>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</si>
  <si>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</si>
  <si>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</si>
  <si>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</si>
  <si>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</si>
  <si>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</si>
  <si>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</si>
  <si>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</si>
  <si>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</si>
  <si>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</si>
  <si>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</si>
  <si>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</si>
  <si>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</si>
  <si>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</si>
  <si>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</si>
  <si>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</si>
  <si>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</si>
  <si>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</si>
  <si>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</si>
  <si>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</si>
  <si>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</si>
  <si>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</si>
  <si>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</si>
  <si>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</si>
  <si>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</si>
  <si>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</si>
  <si>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</si>
  <si>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</si>
  <si>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</si>
  <si>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</si>
  <si>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</si>
  <si>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</si>
  <si>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</si>
  <si>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</si>
  <si>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</si>
  <si>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</si>
  <si>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</si>
  <si>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</si>
  <si>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</si>
  <si>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</si>
  <si>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</si>
  <si>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</si>
  <si>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</si>
  <si>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</si>
  <si>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</si>
  <si>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</si>
  <si>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</si>
  <si>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</si>
  <si>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</si>
  <si>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</si>
  <si>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</si>
  <si>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</si>
  <si>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</si>
  <si>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</si>
  <si>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</si>
  <si>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</si>
  <si>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</si>
  <si>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</si>
  <si>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</si>
  <si>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</si>
  <si>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</si>
  <si>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</si>
  <si>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</si>
  <si>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</si>
  <si>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</si>
  <si>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</si>
  <si>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</si>
  <si>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</si>
  <si>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t>EFFECTIVE AS OF July 1, 2018</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</si>
  <si>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</si>
  <si>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r>
      <t>Note:</t>
    </r>
    <r>
      <rPr>
        <sz val="12"/>
        <rFont val="Arial"/>
        <family val="2"/>
      </rPr>
      <t xml:space="preserve"> AEP INDIANA MICHIGAN TRANSMISSION COMPANY shall initially use the composite depreciation rate FOR INDIANA AND MICHIGAN shown above to estimate depreciation expense for transmission projects in Worksheets J and K until a composite depreciation rate based on transmission plant in service and depreciation expenses reocrded by AEP INDIANA MICHIGAN TRANSMISSION COMPANY for its own transmission facilities can be calculated in AEP INDIANA MICHIGAN TRANSMISSION COMPANY's the first Annual Update including a True-up TCOS.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</si>
  <si>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</si>
  <si>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</si>
  <si>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</si>
  <si>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</si>
  <si>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</si>
  <si>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</si>
  <si>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</si>
  <si>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</si>
  <si>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</si>
  <si>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</si>
  <si>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</si>
  <si>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</si>
  <si>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</si>
  <si>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</si>
  <si>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</si>
  <si>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</si>
  <si>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</si>
  <si>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</si>
  <si>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</si>
  <si>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</si>
  <si>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</si>
  <si>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</si>
  <si>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9301015</t>
  </si>
  <si>
    <t>Other Corporate Comm Exp</t>
  </si>
  <si>
    <t>9302000</t>
  </si>
  <si>
    <t>9302003</t>
  </si>
  <si>
    <t>9302007</t>
  </si>
  <si>
    <t>RTEP ID: b1465.5 (Switching Improvements at Sullivan Jefferson 765kV stations)</t>
  </si>
  <si>
    <t>NOL &amp; TAX CREDIT C/F - DEF TAX ASSET</t>
  </si>
  <si>
    <t>INT EXP CAPITALIZED FOR TAX</t>
  </si>
  <si>
    <t>CIAC - BOOK RECEIPTS</t>
  </si>
  <si>
    <t>PROV POSS REV REFDS</t>
  </si>
  <si>
    <t>ACCRD COMPANYWIDE INCENTV PLAN</t>
  </si>
  <si>
    <t>NOL-DEFERRED TAX ASSET RECLASS</t>
  </si>
  <si>
    <t xml:space="preserve">NON-UTILITY DEFERRED FIT </t>
  </si>
  <si>
    <t>SFAS 109 FLOW-THRU 190.3</t>
  </si>
  <si>
    <t>SFAS 109 EXCESS DFIT 190.4</t>
  </si>
  <si>
    <t>SFAS 133 ADIT FED - SFAS NONAFFIL 1900006</t>
  </si>
  <si>
    <t>ADIT FED - PENSION OCI NAF 1900009</t>
  </si>
  <si>
    <t>ADIT-FED-HDG-CF-INT RATE1900015</t>
  </si>
  <si>
    <t>BOOK VS. TAX DEPRECIATION</t>
  </si>
  <si>
    <t>R &amp; D DEDUCTION - SECTION 174</t>
  </si>
  <si>
    <t>GAIN/LOSS ON ACRS/MACRS PROPERTY</t>
  </si>
  <si>
    <t>ABFUDC</t>
  </si>
  <si>
    <t>BOOK/TAX UNIT OF PROPERTY ADJ</t>
  </si>
  <si>
    <t>BK/TX UNIT OF PROPERTY ADJ-SEC 481 ADJ</t>
  </si>
  <si>
    <t>TX ACCEL AMORT - CAPITALIZED SOFTWARE</t>
  </si>
  <si>
    <t>CAPITALIZED RELOCATION COSTS</t>
  </si>
  <si>
    <t>CAPITALIZED SOFTWARE COST-BOOK</t>
  </si>
  <si>
    <t>REMOVAL CST</t>
  </si>
  <si>
    <t>EXCESS ADFIT - PROTECTED</t>
  </si>
  <si>
    <t>EXCESS ADFIT - UNPROTECTED</t>
  </si>
  <si>
    <t>SFAS 109 FLOW-THRU 282.3</t>
  </si>
  <si>
    <t>SFAS 109 EXCESS DFIT 282.4</t>
  </si>
  <si>
    <t>REG ASSET-TRANSCO PRE-FORMATION COSTS</t>
  </si>
  <si>
    <t>STATE NOL CURRENT BENEFIT</t>
  </si>
  <si>
    <t>NON-UTILITY DEFERRED FIT 283.2</t>
  </si>
  <si>
    <t>SFAS 109 FLOW-THRU 283.3</t>
  </si>
  <si>
    <t>SFAS 109 EXCESS DFIT 283.4</t>
  </si>
  <si>
    <t>SFAS 133 ADIT FED - SFAS 133 NONAFFIL 2830006</t>
  </si>
  <si>
    <t>ADIT - FED-HDG-CF-INT RATE 2830015</t>
  </si>
  <si>
    <t>481 a BONUS DEPRECIATION</t>
  </si>
  <si>
    <t>TAX DEPRECIATION LOOKBACK</t>
  </si>
  <si>
    <t>FIN 48 DSIT</t>
  </si>
  <si>
    <t>INDIANA MICHIGAN TRANSMISSION COMPANY</t>
  </si>
  <si>
    <t>Debit/(Credit)</t>
  </si>
  <si>
    <t xml:space="preserve">I </t>
  </si>
  <si>
    <t xml:space="preserve">J </t>
  </si>
  <si>
    <t>Balance Sheet Entries</t>
  </si>
  <si>
    <t>Tax Expense Entries</t>
  </si>
  <si>
    <t xml:space="preserve">Line No. </t>
  </si>
  <si>
    <t>Description of Account</t>
  </si>
  <si>
    <t>Protected
Unprotected</t>
  </si>
  <si>
    <t>Tax Rate Change Act</t>
  </si>
  <si>
    <t>Amortization Methodology (NOTE C)</t>
  </si>
  <si>
    <t>Amotization Period</t>
  </si>
  <si>
    <t>Balance Sheet Account Reclassifications</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</si>
  <si>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</si>
  <si>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</si>
  <si>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</si>
  <si>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</si>
  <si>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</si>
  <si>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</si>
  <si>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</si>
  <si>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</si>
  <si>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</si>
  <si>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</si>
  <si>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</si>
  <si>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</si>
  <si>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</si>
  <si>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</si>
  <si>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</si>
  <si>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</si>
  <si>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</si>
  <si>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</si>
  <si>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</si>
  <si>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</si>
  <si>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</si>
  <si>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</si>
  <si>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</si>
  <si>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</si>
  <si>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</si>
  <si>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</si>
  <si>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</si>
  <si>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</si>
  <si>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</si>
  <si>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</si>
  <si>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</si>
  <si>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</si>
  <si>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</si>
  <si>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</si>
  <si>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</si>
  <si>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</si>
  <si>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</si>
  <si>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</si>
  <si>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</si>
  <si>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</si>
  <si>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</si>
  <si>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</si>
  <si>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NOTE C:</t>
  </si>
  <si>
    <t>NOTE D:</t>
  </si>
  <si>
    <t>NOTE E:</t>
  </si>
  <si>
    <t>An over or under collection will be recovered prorata over 2018, held for 2019 and returned prorate over 2020</t>
  </si>
  <si>
    <t>INSURANCE PREMIUMS ACCRUED</t>
  </si>
  <si>
    <t>BOOK OPERATING LEASE - LIAB</t>
  </si>
  <si>
    <t>9301014</t>
  </si>
  <si>
    <t>Video Communications</t>
  </si>
  <si>
    <t>P.263 ln 28 (i)</t>
  </si>
  <si>
    <t>BOOK OPERATING LEASE - ASSET</t>
  </si>
  <si>
    <t>WS B - 1 Col N, ADIT Item 9.03</t>
  </si>
  <si>
    <t>WS B - 1 Col N, ADIT Item 5.15</t>
  </si>
  <si>
    <t>WS B - 1 Col N, ADIT Item 5.16</t>
  </si>
  <si>
    <t>Company Records (included in total in column (d) of line 14, gross plant above)</t>
  </si>
  <si>
    <t>Company Records (included in total in column (d) of line 28, accumulated depreciation, above)</t>
  </si>
  <si>
    <t>NOL ADJUSTMENT</t>
  </si>
  <si>
    <t>NOL CONTRA</t>
  </si>
  <si>
    <t>9302004</t>
  </si>
  <si>
    <t>Research, Develop&amp;Demonstr Exp</t>
  </si>
  <si>
    <t>9302017</t>
  </si>
  <si>
    <t>SellingPrice Normalization Exp</t>
  </si>
  <si>
    <t>1/1/2021 Beginning  Balances</t>
  </si>
  <si>
    <t>12/31/2021 Ending Balance</t>
  </si>
  <si>
    <t>P.263 ln 5 (i)</t>
  </si>
  <si>
    <t>P.263 ln 7 (i)</t>
  </si>
  <si>
    <t>2022 Forecasted Revenue Requirement For Year 2021</t>
  </si>
  <si>
    <t>WS B - 2 Col B/C, ADIT Item 2.14</t>
  </si>
  <si>
    <t>WS B - 1 Col B/C, ADIT Item 5.21</t>
  </si>
  <si>
    <t>WS B - 1 Col B/C, ADIT Item 9.08</t>
  </si>
  <si>
    <t>P.263 ln 4 (i)</t>
  </si>
  <si>
    <t>P.263 ln 3 (i)</t>
  </si>
  <si>
    <t>P.263 ln 10 (i)</t>
  </si>
  <si>
    <t xml:space="preserve">Long Term Debt cost rate = long-term interest (ln 128) /average long term debt (ln 136). Preferred Stock cost rate = preferred dividends (ln 129) / preferred outstanding (ln 137).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</si>
  <si>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capital structure, including the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</si>
  <si>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AEP EAST TRANSMISSION COMPANIES</t>
  </si>
  <si>
    <t>Docket ER20-1888-000</t>
  </si>
  <si>
    <t>AEP INDIANA MICHIGAN TRANSMISSION COMPANY</t>
  </si>
  <si>
    <t>Compliance Filing</t>
  </si>
  <si>
    <t>ATTACHMENT H-20B</t>
  </si>
  <si>
    <t>Attachment 12</t>
  </si>
  <si>
    <t>WORKSHEET B-3-A</t>
  </si>
  <si>
    <t>Page 2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</si>
  <si>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</si>
  <si>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</si>
  <si>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</si>
  <si>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</si>
  <si>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</si>
  <si>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</si>
  <si>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</si>
  <si>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</si>
  <si>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</si>
  <si>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</si>
  <si>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</si>
  <si>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</si>
  <si>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</si>
  <si>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</si>
  <si>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t>
  </si>
  <si>
    <t>1901001</t>
  </si>
  <si>
    <t>2018 FF1 P. 234 Col (b) Line 8</t>
  </si>
  <si>
    <t>2821001</t>
  </si>
  <si>
    <t>2018 FF1 P. 274 Col (b) Line 5</t>
  </si>
  <si>
    <t>2831001</t>
  </si>
  <si>
    <t>2018 FF1 P. 276 Col (b) Line 9</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</si>
  <si>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</si>
  <si>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</si>
  <si>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</si>
  <si>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</si>
  <si>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</si>
  <si>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</si>
  <si>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</si>
  <si>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</si>
  <si>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</si>
  <si>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TAX REMEASUREMENT WORKSHEET</t>
  </si>
  <si>
    <t>This amount represents the FIT gross up recorded on the regulatory assets and liabilities will be reported on the first line of ADIT accounts provided for each specific change in tax rates.</t>
  </si>
  <si>
    <t xml:space="preserve">The amounts of the remeasurement shown here are as of the effective date of the change in tax rates and will remain static on this workpaper. The derivation of this amount, along with the pre-remeasurement and post-remeasurement balances of ADIT, are presented in formula wokpaper(s) B-3-X,   </t>
  </si>
  <si>
    <t>{REFERENCE OR CITE TO APPROVAL OF AMORTIZATION PERIOD FOR UNPROTECTED EXCESS OR DEFICIENT ADIT}</t>
  </si>
  <si>
    <t>In  the event of future tax rate changes, additional lines will be inserted in both the Total Company and Transmission Functional sections above as required to reflect  any new ADIT or regulatory deferral accounts that may be necessary to track that tax rate change.</t>
  </si>
  <si>
    <t>NOTE F:</t>
  </si>
  <si>
    <t>The amount of excess amortization entries shown in lines 1a through 1h are shown as a debit or credit to the ADIT account from which it is being amortized.  The total in line 3 is the offset recorded to the 410/411 account and will tie to the total company amount of excess or deficient ADIT amortization shown on line 102 of the cost of service.</t>
  </si>
  <si>
    <t>NOTE G:</t>
  </si>
  <si>
    <t>Deficient remeasurement amounts will be recorded in 410.1 as a debit (expense) to cost of service; excess remeasurement amounts will be recorded in 411.1 as a credit to cost of service.</t>
  </si>
  <si>
    <t>WORKSHEET B-3-X</t>
  </si>
  <si>
    <t>Utility Account (NOTE A)</t>
  </si>
  <si>
    <t xml:space="preserve">Excess / Deficient Balance at Remeasurement </t>
  </si>
  <si>
    <t>Excess / Deficient ADIT Regulatory  Offset</t>
  </si>
  <si>
    <t>Excess / Deficient ADIT in Utility Deferrals</t>
  </si>
  <si>
    <t xml:space="preserve">410/411 Excess / Deficient Amortization NOTE C/NOTE F
</t>
  </si>
  <si>
    <t>Excess/ Deficient ADIT Regulatory  Offset</t>
  </si>
  <si>
    <t>Excess /  Deficient ADIT in Utility Deferrals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</si>
</sst>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_(* #,##0.000_);_(* \(#,##0.000\);_(* &quot;-&quot;??_);_(@_)"/>
  </numFmts>
  <fonts count="157">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70">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49"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49" fillId="0" borderId="0" applyFont="0" applyFill="0" applyBorder="0" applyAlignment="0" applyProtection="0"/>
    <xf numFmtId="43" fontId="138" fillId="0" borderId="0" applyFont="0" applyFill="0" applyBorder="0" applyAlignment="0" applyProtection="0"/>
    <xf numFmtId="43" fontId="149" fillId="0" borderId="0" applyFont="0" applyFill="0" applyBorder="0" applyAlignment="0" applyProtection="0"/>
    <xf numFmtId="43" fontId="147" fillId="0" borderId="0" applyFont="0" applyFill="0" applyBorder="0" applyAlignment="0" applyProtection="0"/>
    <xf numFmtId="43" fontId="149"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9" fillId="0" borderId="0" applyFont="0" applyFill="0" applyBorder="0" applyAlignment="0" applyProtection="0"/>
    <xf numFmtId="44" fontId="13" fillId="0" borderId="0" applyFont="0" applyFill="0" applyBorder="0" applyAlignment="0" applyProtection="0"/>
    <xf numFmtId="44" fontId="149" fillId="0" borderId="0" applyFont="0" applyFill="0" applyBorder="0" applyAlignment="0" applyProtection="0"/>
    <xf numFmtId="44" fontId="147"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3" fontId="147" fillId="0" borderId="0"/>
    <xf numFmtId="0" fontId="129" fillId="0" borderId="0"/>
    <xf numFmtId="0" fontId="13" fillId="0" borderId="0"/>
    <xf numFmtId="3" fontId="13" fillId="0" borderId="0"/>
    <xf numFmtId="3" fontId="13" fillId="0" borderId="0"/>
    <xf numFmtId="0" fontId="147" fillId="0" borderId="0"/>
    <xf numFmtId="3" fontId="13" fillId="0" borderId="0"/>
    <xf numFmtId="3" fontId="13" fillId="0" borderId="0"/>
    <xf numFmtId="0" fontId="149"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0" fillId="0" borderId="0"/>
    <xf numFmtId="0" fontId="13" fillId="0" borderId="0"/>
    <xf numFmtId="0" fontId="13" fillId="0" borderId="0"/>
    <xf numFmtId="0" fontId="150"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49"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47" fillId="0" borderId="0"/>
    <xf numFmtId="0" fontId="13" fillId="0" borderId="0"/>
    <xf numFmtId="0" fontId="147" fillId="0" borderId="0"/>
    <xf numFmtId="0" fontId="13" fillId="0" borderId="0"/>
    <xf numFmtId="0" fontId="147"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47" fillId="0" borderId="0"/>
    <xf numFmtId="0" fontId="129" fillId="0" borderId="0"/>
    <xf numFmtId="0" fontId="13" fillId="0" borderId="0"/>
    <xf numFmtId="0" fontId="13" fillId="0" borderId="0"/>
    <xf numFmtId="0" fontId="13" fillId="0" borderId="0"/>
    <xf numFmtId="0" fontId="147" fillId="0" borderId="0"/>
    <xf numFmtId="0" fontId="13" fillId="0" borderId="0"/>
    <xf numFmtId="0" fontId="13" fillId="0" borderId="0"/>
    <xf numFmtId="0" fontId="147" fillId="0" borderId="0"/>
    <xf numFmtId="0" fontId="13" fillId="0" borderId="0"/>
    <xf numFmtId="0" fontId="149"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129" fillId="0" borderId="0"/>
    <xf numFmtId="0" fontId="13" fillId="0" borderId="0"/>
    <xf numFmtId="0" fontId="149" fillId="0" borderId="0"/>
    <xf numFmtId="0" fontId="147"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9" fillId="0" borderId="0" applyFont="0" applyFill="0" applyBorder="0" applyAlignment="0" applyProtection="0"/>
    <xf numFmtId="9" fontId="13" fillId="0" borderId="0" applyFont="0" applyFill="0" applyBorder="0" applyAlignment="0" applyProtection="0"/>
    <xf numFmtId="9" fontId="149" fillId="0" borderId="0" applyFont="0" applyFill="0" applyBorder="0" applyAlignment="0" applyProtection="0"/>
    <xf numFmtId="9" fontId="149" fillId="0" borderId="0" applyFont="0" applyFill="0" applyBorder="0" applyAlignment="0" applyProtection="0"/>
    <xf numFmtId="9" fontId="147"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72" fontId="4" fillId="0" borderId="0" applyProtection="0"/>
    <xf numFmtId="0" fontId="2" fillId="0" borderId="0"/>
    <xf numFmtId="43" fontId="4" fillId="0" borderId="0" applyFont="0" applyFill="0" applyBorder="0" applyAlignment="0" applyProtection="0"/>
    <xf numFmtId="0" fontId="3" fillId="0" borderId="0"/>
    <xf numFmtId="9" fontId="4" fillId="0" borderId="0" applyFont="0" applyFill="0" applyBorder="0" applyAlignment="0" applyProtection="0"/>
    <xf numFmtId="172" fontId="4" fillId="0" borderId="0" applyProtection="0"/>
    <xf numFmtId="43" fontId="4" fillId="0" borderId="0" applyFont="0" applyFill="0" applyBorder="0" applyAlignment="0" applyProtection="0"/>
    <xf numFmtId="0" fontId="2" fillId="0" borderId="0"/>
    <xf numFmtId="9" fontId="4" fillId="0" borderId="0" applyFont="0" applyFill="0" applyBorder="0" applyAlignment="0" applyProtection="0"/>
    <xf numFmtId="0" fontId="1" fillId="0" borderId="0"/>
  </cellStyleXfs>
  <cellXfs count="1602">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70" applyFont="1" applyFill="1" applyAlignment="1">
      <alignment horizontal="center"/>
    </xf>
    <xf numFmtId="0" fontId="16" fillId="0" borderId="0" xfId="270" applyFont="1" applyFill="1"/>
    <xf numFmtId="0" fontId="0" fillId="0" borderId="0" xfId="0" applyBorder="1"/>
    <xf numFmtId="0" fontId="5" fillId="0" borderId="0" xfId="0" applyFont="1"/>
    <xf numFmtId="0" fontId="0" fillId="0" borderId="0" xfId="0" applyFill="1"/>
    <xf numFmtId="0" fontId="13" fillId="0" borderId="0" xfId="270" applyFont="1" applyFill="1"/>
    <xf numFmtId="0" fontId="16" fillId="0" borderId="0" xfId="270" applyFont="1" applyFill="1" applyAlignment="1">
      <alignment horizontal="left"/>
    </xf>
    <xf numFmtId="3" fontId="13" fillId="0" borderId="0" xfId="0" applyNumberFormat="1" applyFont="1" applyFill="1"/>
    <xf numFmtId="0" fontId="6" fillId="0" borderId="0" xfId="270" applyFont="1" applyFill="1" applyAlignment="1">
      <alignment horizontal="right"/>
    </xf>
    <xf numFmtId="40" fontId="13" fillId="0" borderId="0" xfId="0" applyNumberFormat="1" applyFont="1" applyFill="1"/>
    <xf numFmtId="0" fontId="13" fillId="0" borderId="0" xfId="270" applyFont="1"/>
    <xf numFmtId="0" fontId="6" fillId="0" borderId="0" xfId="270" applyFont="1" applyFill="1"/>
    <xf numFmtId="0" fontId="10" fillId="0" borderId="0" xfId="270" applyFont="1" applyFill="1" applyBorder="1" applyAlignment="1">
      <alignment horizontal="left"/>
    </xf>
    <xf numFmtId="0" fontId="13" fillId="0" borderId="0" xfId="270" applyFont="1" applyAlignment="1">
      <alignment horizontal="left"/>
    </xf>
    <xf numFmtId="0" fontId="7" fillId="0" borderId="0" xfId="270"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70" applyNumberFormat="1" applyFont="1" applyFill="1" applyBorder="1"/>
    <xf numFmtId="0" fontId="29" fillId="0" borderId="0" xfId="270" applyFont="1" applyFill="1" applyAlignment="1">
      <alignment horizontal="left"/>
    </xf>
    <xf numFmtId="0" fontId="27" fillId="0" borderId="0" xfId="270" applyFont="1" applyFill="1"/>
    <xf numFmtId="41" fontId="27" fillId="0" borderId="0" xfId="270" applyNumberFormat="1" applyFont="1" applyFill="1"/>
    <xf numFmtId="41" fontId="27" fillId="0" borderId="0" xfId="270" applyNumberFormat="1" applyFont="1" applyFill="1" applyBorder="1" applyAlignment="1">
      <alignment vertical="top"/>
    </xf>
    <xf numFmtId="181" fontId="27" fillId="0" borderId="0" xfId="270" applyNumberFormat="1" applyFont="1" applyFill="1"/>
    <xf numFmtId="41" fontId="27" fillId="0" borderId="0" xfId="270" applyNumberFormat="1" applyFont="1" applyFill="1" applyBorder="1"/>
    <xf numFmtId="0" fontId="27" fillId="0" borderId="0" xfId="270" applyFont="1" applyFill="1" applyAlignment="1">
      <alignment horizontal="left"/>
    </xf>
    <xf numFmtId="0" fontId="30" fillId="0" borderId="0" xfId="270" applyFont="1" applyFill="1" applyBorder="1"/>
    <xf numFmtId="0" fontId="27" fillId="0" borderId="0" xfId="270" applyFont="1" applyFill="1" applyAlignment="1">
      <alignment horizontal="center"/>
    </xf>
    <xf numFmtId="0" fontId="11" fillId="0" borderId="0" xfId="270" applyFont="1" applyFill="1" applyAlignment="1">
      <alignment horizontal="center"/>
    </xf>
    <xf numFmtId="173" fontId="27" fillId="0" borderId="0" xfId="270" applyNumberFormat="1" applyFont="1" applyFill="1"/>
    <xf numFmtId="173" fontId="27" fillId="0" borderId="0" xfId="270" applyNumberFormat="1" applyFont="1" applyFill="1" applyBorder="1" applyAlignment="1">
      <alignment vertical="top"/>
    </xf>
    <xf numFmtId="41" fontId="27" fillId="0" borderId="13" xfId="270" applyNumberFormat="1" applyFont="1" applyFill="1" applyBorder="1"/>
    <xf numFmtId="173" fontId="7" fillId="0" borderId="0" xfId="86" applyNumberFormat="1" applyFont="1" applyFill="1" applyAlignment="1">
      <alignment horizontal="center"/>
    </xf>
    <xf numFmtId="0" fontId="6" fillId="0" borderId="0" xfId="270" applyFont="1" applyFill="1" applyAlignment="1">
      <alignment horizontal="center"/>
    </xf>
    <xf numFmtId="0" fontId="31" fillId="0" borderId="0" xfId="270" applyFont="1" applyFill="1" applyBorder="1"/>
    <xf numFmtId="0" fontId="11" fillId="0" borderId="0" xfId="270" applyFont="1" applyAlignment="1">
      <alignment horizontal="center"/>
    </xf>
    <xf numFmtId="41" fontId="6" fillId="0" borderId="13" xfId="270" applyNumberFormat="1" applyFont="1" applyFill="1" applyBorder="1"/>
    <xf numFmtId="38" fontId="13" fillId="0" borderId="0" xfId="0" applyNumberFormat="1" applyFont="1" applyFill="1" applyBorder="1" applyAlignment="1"/>
    <xf numFmtId="40" fontId="27" fillId="0" borderId="0" xfId="270" applyNumberFormat="1" applyFont="1" applyFill="1"/>
    <xf numFmtId="3" fontId="13" fillId="0" borderId="0" xfId="0" applyNumberFormat="1" applyFont="1"/>
    <xf numFmtId="40" fontId="13" fillId="0" borderId="0" xfId="0" applyNumberFormat="1" applyFont="1"/>
    <xf numFmtId="43" fontId="6" fillId="0" borderId="0" xfId="270" applyNumberFormat="1" applyFont="1" applyFill="1"/>
    <xf numFmtId="3" fontId="6" fillId="0" borderId="0" xfId="0" applyNumberFormat="1" applyFont="1" applyFill="1" applyAlignment="1"/>
    <xf numFmtId="41" fontId="28" fillId="25" borderId="0" xfId="270" applyNumberFormat="1" applyFont="1" applyFill="1" applyBorder="1"/>
    <xf numFmtId="0" fontId="33" fillId="0" borderId="0" xfId="0" applyFont="1" applyFill="1"/>
    <xf numFmtId="0" fontId="20" fillId="0" borderId="0" xfId="270" applyFont="1" applyFill="1"/>
    <xf numFmtId="0" fontId="13" fillId="0" borderId="0" xfId="270" applyFont="1" applyAlignment="1">
      <alignment horizontal="center"/>
    </xf>
    <xf numFmtId="0" fontId="6" fillId="0" borderId="0" xfId="220" applyFont="1" applyBorder="1" applyAlignment="1">
      <alignment horizontal="center"/>
    </xf>
    <xf numFmtId="49" fontId="6" fillId="0" borderId="0" xfId="270"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78" applyFont="1"/>
    <xf numFmtId="185" fontId="19" fillId="0" borderId="0" xfId="278" applyNumberFormat="1" applyFont="1" applyAlignment="1">
      <alignment horizontal="center"/>
    </xf>
    <xf numFmtId="0" fontId="13" fillId="0" borderId="0" xfId="278" applyFont="1"/>
    <xf numFmtId="0" fontId="19" fillId="0" borderId="0" xfId="278" applyFont="1"/>
    <xf numFmtId="0" fontId="19" fillId="0" borderId="0" xfId="278" applyNumberFormat="1" applyFont="1" applyAlignment="1">
      <alignment horizontal="center"/>
    </xf>
    <xf numFmtId="0" fontId="19" fillId="0" borderId="0" xfId="278" applyNumberFormat="1" applyFont="1"/>
    <xf numFmtId="0" fontId="19" fillId="0" borderId="0" xfId="278" applyNumberFormat="1" applyFont="1" applyBorder="1" applyAlignment="1">
      <alignment horizontal="center"/>
    </xf>
    <xf numFmtId="0" fontId="74" fillId="0" borderId="0" xfId="278" applyFont="1"/>
    <xf numFmtId="0" fontId="75" fillId="0" borderId="0" xfId="278" applyFont="1"/>
    <xf numFmtId="185" fontId="13" fillId="0" borderId="0" xfId="278" applyNumberFormat="1" applyFont="1"/>
    <xf numFmtId="0" fontId="76" fillId="0" borderId="0" xfId="275" applyFont="1" applyFill="1" applyAlignment="1">
      <alignment horizontal="center"/>
    </xf>
    <xf numFmtId="0" fontId="76" fillId="0" borderId="0" xfId="275" applyFont="1" applyFill="1" applyAlignment="1">
      <alignment horizontal="left" indent="2"/>
    </xf>
    <xf numFmtId="39" fontId="76" fillId="0" borderId="0" xfId="275" applyNumberFormat="1" applyFont="1" applyFill="1"/>
    <xf numFmtId="0" fontId="72" fillId="0" borderId="0" xfId="278" applyFont="1" applyFill="1"/>
    <xf numFmtId="0" fontId="13" fillId="0" borderId="0" xfId="278" applyNumberFormat="1" applyFont="1" applyAlignment="1">
      <alignment horizontal="center"/>
    </xf>
    <xf numFmtId="0" fontId="13" fillId="0" borderId="0" xfId="278"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70" applyFont="1" applyFill="1" applyBorder="1" applyAlignment="1">
      <alignment horizontal="left"/>
    </xf>
    <xf numFmtId="0" fontId="5" fillId="0" borderId="0" xfId="0" applyFont="1" applyAlignment="1">
      <alignment horizontal="center"/>
    </xf>
    <xf numFmtId="0" fontId="5" fillId="0" borderId="0" xfId="220" applyFont="1" applyBorder="1" applyAlignment="1">
      <alignment horizontal="center"/>
    </xf>
    <xf numFmtId="0" fontId="13" fillId="0" borderId="0" xfId="278" applyNumberFormat="1" applyFont="1" applyFill="1"/>
    <xf numFmtId="173" fontId="72" fillId="0" borderId="0" xfId="278"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70" applyFont="1"/>
    <xf numFmtId="0" fontId="3" fillId="0" borderId="0" xfId="270" applyAlignment="1">
      <alignment horizontal="left"/>
    </xf>
    <xf numFmtId="0" fontId="3" fillId="0" borderId="0" xfId="270"/>
    <xf numFmtId="0" fontId="16" fillId="0" borderId="0" xfId="270" applyFont="1" applyAlignment="1">
      <alignment horizontal="left"/>
    </xf>
    <xf numFmtId="0" fontId="15" fillId="0" borderId="0" xfId="270" applyFont="1" applyFill="1"/>
    <xf numFmtId="0" fontId="84" fillId="0" borderId="0" xfId="270" applyFont="1" applyFill="1"/>
    <xf numFmtId="9" fontId="11" fillId="0" borderId="0" xfId="270" quotePrefix="1" applyNumberFormat="1" applyFont="1" applyFill="1" applyAlignment="1">
      <alignment horizontal="center"/>
    </xf>
    <xf numFmtId="0" fontId="5" fillId="0" borderId="0" xfId="278" applyNumberFormat="1" applyFont="1" applyAlignment="1">
      <alignment horizontal="center"/>
    </xf>
    <xf numFmtId="0" fontId="5" fillId="0" borderId="0" xfId="278" applyNumberFormat="1" applyFont="1"/>
    <xf numFmtId="185" fontId="5" fillId="0" borderId="0" xfId="278" applyNumberFormat="1" applyFont="1" applyAlignment="1">
      <alignment horizontal="center"/>
    </xf>
    <xf numFmtId="0" fontId="5" fillId="0" borderId="11" xfId="278" applyNumberFormat="1" applyFont="1" applyBorder="1" applyAlignment="1">
      <alignment horizontal="center"/>
    </xf>
    <xf numFmtId="185" fontId="5" fillId="0" borderId="11" xfId="278" applyNumberFormat="1" applyFont="1" applyBorder="1" applyAlignment="1">
      <alignment horizontal="center"/>
    </xf>
    <xf numFmtId="174" fontId="0" fillId="0" borderId="0" xfId="121"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89" applyNumberFormat="1" applyFont="1"/>
    <xf numFmtId="173" fontId="90" fillId="0" borderId="0" xfId="278" applyNumberFormat="1" applyFont="1" applyFill="1" applyBorder="1"/>
    <xf numFmtId="0" fontId="24" fillId="0" borderId="0" xfId="270" applyFont="1" applyFill="1" applyAlignment="1">
      <alignment horizontal="center"/>
    </xf>
    <xf numFmtId="0" fontId="93" fillId="0" borderId="0" xfId="270" applyFont="1" applyFill="1" applyBorder="1"/>
    <xf numFmtId="0" fontId="33" fillId="0" borderId="0" xfId="0" applyFont="1"/>
    <xf numFmtId="173" fontId="0" fillId="0" borderId="14" xfId="0" applyNumberFormat="1" applyBorder="1"/>
    <xf numFmtId="9" fontId="0" fillId="0" borderId="0" xfId="289" applyFont="1"/>
    <xf numFmtId="0" fontId="95" fillId="0" borderId="0" xfId="0" applyFont="1" applyAlignment="1">
      <alignment horizontal="center" wrapText="1"/>
    </xf>
    <xf numFmtId="0" fontId="19" fillId="0" borderId="0" xfId="275" applyFont="1" applyFill="1" applyAlignment="1">
      <alignment horizontal="center"/>
    </xf>
    <xf numFmtId="190" fontId="99" fillId="0" borderId="0" xfId="220" applyNumberFormat="1" applyFont="1" applyFill="1" applyBorder="1" applyAlignment="1">
      <alignment horizontal="center"/>
    </xf>
    <xf numFmtId="38" fontId="0" fillId="0" borderId="0" xfId="0" applyNumberFormat="1" applyBorder="1"/>
    <xf numFmtId="0" fontId="3" fillId="0" borderId="0" xfId="0" applyFont="1"/>
    <xf numFmtId="0" fontId="7" fillId="0" borderId="0" xfId="270" applyFont="1" applyFill="1" applyBorder="1" applyAlignment="1">
      <alignment horizontal="center"/>
    </xf>
    <xf numFmtId="0" fontId="6" fillId="0" borderId="0" xfId="0" applyFont="1" applyBorder="1" applyAlignment="1">
      <alignment horizontal="center"/>
    </xf>
    <xf numFmtId="0" fontId="5" fillId="0" borderId="0" xfId="278" applyNumberFormat="1" applyFont="1" applyBorder="1" applyAlignment="1">
      <alignment horizontal="center"/>
    </xf>
    <xf numFmtId="0" fontId="13" fillId="0" borderId="0" xfId="278" applyFont="1" applyBorder="1"/>
    <xf numFmtId="0" fontId="5" fillId="0" borderId="11" xfId="278" applyNumberFormat="1" applyFont="1" applyBorder="1"/>
    <xf numFmtId="185" fontId="5" fillId="0" borderId="0" xfId="278" applyNumberFormat="1" applyFont="1" applyBorder="1" applyAlignment="1">
      <alignment horizontal="center"/>
    </xf>
    <xf numFmtId="0" fontId="13" fillId="0" borderId="0" xfId="278" applyFont="1" applyFill="1"/>
    <xf numFmtId="173" fontId="79" fillId="0" borderId="0" xfId="278" applyNumberFormat="1" applyFont="1" applyFill="1" applyBorder="1"/>
    <xf numFmtId="0" fontId="72" fillId="0" borderId="0" xfId="278" applyFont="1" applyAlignment="1">
      <alignment horizontal="center"/>
    </xf>
    <xf numFmtId="0" fontId="19" fillId="0" borderId="0" xfId="278" applyFont="1" applyFill="1"/>
    <xf numFmtId="3" fontId="79" fillId="0" borderId="0" xfId="278" applyNumberFormat="1" applyFont="1" applyFill="1" applyBorder="1"/>
    <xf numFmtId="173" fontId="79" fillId="0" borderId="0" xfId="278" applyNumberFormat="1" applyFont="1" applyFill="1"/>
    <xf numFmtId="173" fontId="72" fillId="0" borderId="0" xfId="278" applyNumberFormat="1" applyFont="1" applyFill="1" applyBorder="1"/>
    <xf numFmtId="0" fontId="72" fillId="0" borderId="0" xfId="278" applyFont="1" applyFill="1" applyBorder="1"/>
    <xf numFmtId="38" fontId="23" fillId="0" borderId="0" xfId="0" applyNumberFormat="1" applyFont="1" applyBorder="1"/>
    <xf numFmtId="176" fontId="4" fillId="0" borderId="15" xfId="280" applyNumberFormat="1" applyBorder="1" applyProtection="1"/>
    <xf numFmtId="176" fontId="4" fillId="0" borderId="0" xfId="280" applyNumberFormat="1" applyBorder="1" applyProtection="1"/>
    <xf numFmtId="49" fontId="6" fillId="0" borderId="0" xfId="86" applyNumberFormat="1" applyFont="1" applyAlignment="1">
      <alignment horizontal="center"/>
    </xf>
    <xf numFmtId="0" fontId="100" fillId="0" borderId="0" xfId="278" applyFont="1" applyFill="1" applyBorder="1"/>
    <xf numFmtId="0" fontId="120" fillId="0" borderId="0" xfId="278" applyFont="1"/>
    <xf numFmtId="0" fontId="33" fillId="0" borderId="0" xfId="270" applyFont="1" applyFill="1" applyBorder="1"/>
    <xf numFmtId="0" fontId="108" fillId="0" borderId="0" xfId="270" applyFont="1" applyFill="1" applyAlignment="1">
      <alignment horizontal="center"/>
    </xf>
    <xf numFmtId="0" fontId="13" fillId="0" borderId="0" xfId="270" applyFont="1" applyFill="1" applyBorder="1"/>
    <xf numFmtId="0" fontId="95" fillId="0" borderId="0" xfId="0" applyFont="1" applyAlignment="1">
      <alignment horizontal="center"/>
    </xf>
    <xf numFmtId="10" fontId="4" fillId="0" borderId="0" xfId="280" applyNumberFormat="1" applyFill="1" applyProtection="1"/>
    <xf numFmtId="41" fontId="20" fillId="30" borderId="6" xfId="277" applyNumberFormat="1" applyFont="1" applyFill="1" applyBorder="1" applyAlignment="1" applyProtection="1">
      <protection locked="0"/>
    </xf>
    <xf numFmtId="3" fontId="20" fillId="30" borderId="0" xfId="277" applyNumberFormat="1" applyFont="1" applyFill="1" applyAlignment="1" applyProtection="1">
      <protection locked="0"/>
    </xf>
    <xf numFmtId="41" fontId="6" fillId="30" borderId="0" xfId="277"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77"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77" applyNumberFormat="1" applyFont="1" applyFill="1" applyProtection="1">
      <protection locked="0"/>
    </xf>
    <xf numFmtId="41" fontId="20" fillId="30" borderId="0" xfId="277" applyNumberFormat="1" applyFont="1" applyFill="1" applyAlignment="1" applyProtection="1">
      <alignment vertical="center"/>
      <protection locked="0"/>
    </xf>
    <xf numFmtId="0" fontId="7" fillId="0" borderId="0" xfId="0" applyFont="1"/>
    <xf numFmtId="10" fontId="20" fillId="31" borderId="0" xfId="289" applyNumberFormat="1" applyFont="1" applyFill="1" applyAlignment="1" applyProtection="1">
      <protection locked="0"/>
    </xf>
    <xf numFmtId="173" fontId="79" fillId="32" borderId="0" xfId="278" applyNumberFormat="1" applyFont="1" applyFill="1"/>
    <xf numFmtId="193" fontId="4" fillId="0" borderId="0" xfId="280" applyNumberFormat="1" applyFill="1" applyProtection="1"/>
    <xf numFmtId="172" fontId="4" fillId="0" borderId="0" xfId="277" applyFont="1" applyAlignment="1" applyProtection="1"/>
    <xf numFmtId="172" fontId="6" fillId="0" borderId="0" xfId="277" applyFont="1" applyAlignment="1" applyProtection="1"/>
    <xf numFmtId="0" fontId="0" fillId="0" borderId="0" xfId="0" applyBorder="1" applyProtection="1"/>
    <xf numFmtId="0" fontId="7" fillId="0" borderId="0" xfId="277" applyNumberFormat="1" applyFont="1" applyBorder="1" applyAlignment="1" applyProtection="1">
      <alignment horizontal="left"/>
    </xf>
    <xf numFmtId="14" fontId="7" fillId="0" borderId="0" xfId="277" applyNumberFormat="1" applyFont="1" applyBorder="1" applyAlignment="1" applyProtection="1"/>
    <xf numFmtId="172" fontId="7" fillId="0" borderId="0" xfId="277" applyFont="1" applyFill="1" applyAlignment="1" applyProtection="1"/>
    <xf numFmtId="172" fontId="6" fillId="0" borderId="0" xfId="277" applyFont="1" applyFill="1" applyAlignment="1" applyProtection="1"/>
    <xf numFmtId="0" fontId="20" fillId="32" borderId="0" xfId="86" applyNumberFormat="1" applyFont="1" applyFill="1" applyAlignment="1" applyProtection="1"/>
    <xf numFmtId="0" fontId="6" fillId="0" borderId="0" xfId="27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7" applyNumberFormat="1" applyFont="1" applyProtection="1"/>
    <xf numFmtId="0" fontId="6" fillId="0" borderId="0" xfId="277" applyNumberFormat="1" applyFont="1" applyAlignment="1" applyProtection="1">
      <alignment horizontal="right"/>
    </xf>
    <xf numFmtId="0" fontId="20" fillId="0" borderId="0" xfId="86" applyNumberFormat="1" applyFont="1" applyFill="1" applyAlignment="1" applyProtection="1"/>
    <xf numFmtId="3" fontId="6" fillId="0" borderId="0" xfId="277" applyNumberFormat="1" applyFont="1" applyAlignment="1" applyProtection="1"/>
    <xf numFmtId="3" fontId="6" fillId="0" borderId="0" xfId="0" applyNumberFormat="1" applyFont="1" applyAlignment="1" applyProtection="1">
      <alignment horizontal="center"/>
    </xf>
    <xf numFmtId="0" fontId="4" fillId="0" borderId="0" xfId="277" applyNumberFormat="1" applyFont="1" applyAlignment="1" applyProtection="1">
      <alignment horizontal="center"/>
    </xf>
    <xf numFmtId="0" fontId="6" fillId="0" borderId="0" xfId="277" applyNumberFormat="1" applyFont="1" applyAlignment="1" applyProtection="1">
      <alignment horizontal="center"/>
    </xf>
    <xf numFmtId="49" fontId="6" fillId="0" borderId="0" xfId="27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7" applyNumberFormat="1" applyFont="1" applyProtection="1"/>
    <xf numFmtId="39" fontId="6" fillId="0" borderId="0" xfId="86" applyNumberFormat="1" applyFont="1" applyAlignment="1" applyProtection="1">
      <alignment horizontal="center"/>
    </xf>
    <xf numFmtId="0" fontId="4" fillId="0" borderId="6" xfId="277" applyNumberFormat="1" applyFont="1" applyBorder="1" applyAlignment="1" applyProtection="1">
      <alignment horizontal="center"/>
    </xf>
    <xf numFmtId="0" fontId="6" fillId="0" borderId="0" xfId="277" applyNumberFormat="1" applyFont="1" applyBorder="1" applyAlignment="1" applyProtection="1">
      <alignment horizontal="center"/>
    </xf>
    <xf numFmtId="0" fontId="6" fillId="0" borderId="6" xfId="277" applyNumberFormat="1" applyFont="1" applyBorder="1" applyAlignment="1" applyProtection="1">
      <alignment horizontal="center"/>
    </xf>
    <xf numFmtId="0" fontId="6" fillId="0" borderId="0" xfId="0" applyNumberFormat="1" applyFont="1" applyProtection="1"/>
    <xf numFmtId="0" fontId="6" fillId="0" borderId="0" xfId="277" applyNumberFormat="1" applyFont="1" applyFill="1" applyProtection="1"/>
    <xf numFmtId="3" fontId="6" fillId="0" borderId="0" xfId="277" applyNumberFormat="1" applyFont="1" applyProtection="1"/>
    <xf numFmtId="0" fontId="6" fillId="0" borderId="0" xfId="277" applyNumberFormat="1" applyFont="1" applyAlignment="1" applyProtection="1">
      <alignment horizontal="left"/>
    </xf>
    <xf numFmtId="170" fontId="6" fillId="0" borderId="0" xfId="277" applyNumberFormat="1" applyFont="1" applyProtection="1"/>
    <xf numFmtId="3" fontId="6" fillId="0" borderId="0" xfId="277" applyNumberFormat="1" applyFont="1" applyFill="1" applyAlignment="1" applyProtection="1">
      <alignment horizontal="left"/>
    </xf>
    <xf numFmtId="3" fontId="6" fillId="0" borderId="0" xfId="277" applyNumberFormat="1" applyFont="1" applyFill="1" applyAlignment="1" applyProtection="1"/>
    <xf numFmtId="0" fontId="6" fillId="0" borderId="6" xfId="277" applyNumberFormat="1" applyFont="1" applyBorder="1" applyAlignment="1" applyProtection="1">
      <alignment horizontal="centerContinuous"/>
    </xf>
    <xf numFmtId="0" fontId="6" fillId="0" borderId="0" xfId="0" applyNumberFormat="1" applyFont="1" applyAlignment="1" applyProtection="1"/>
    <xf numFmtId="41" fontId="6" fillId="0" borderId="0" xfId="277" applyNumberFormat="1" applyFont="1" applyFill="1" applyBorder="1" applyAlignment="1" applyProtection="1"/>
    <xf numFmtId="3" fontId="6" fillId="0" borderId="0" xfId="277" applyNumberFormat="1" applyFont="1" applyFill="1" applyAlignment="1" applyProtection="1">
      <alignment horizontal="center"/>
    </xf>
    <xf numFmtId="165" fontId="6" fillId="0" borderId="0" xfId="277" applyNumberFormat="1" applyFont="1" applyFill="1" applyAlignment="1" applyProtection="1">
      <alignment horizontal="right"/>
    </xf>
    <xf numFmtId="42" fontId="6" fillId="0" borderId="0" xfId="277" applyNumberFormat="1" applyFont="1" applyBorder="1" applyAlignment="1" applyProtection="1"/>
    <xf numFmtId="0" fontId="4" fillId="0" borderId="0" xfId="277" applyNumberFormat="1" applyFont="1" applyFill="1" applyAlignment="1" applyProtection="1">
      <alignment horizontal="center"/>
    </xf>
    <xf numFmtId="0" fontId="6" fillId="0" borderId="0" xfId="27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7" applyNumberFormat="1" applyFont="1" applyAlignment="1" applyProtection="1">
      <alignment horizontal="left"/>
    </xf>
    <xf numFmtId="3" fontId="6" fillId="0" borderId="0" xfId="277" applyNumberFormat="1" applyFont="1" applyAlignment="1" applyProtection="1">
      <alignment horizontal="center"/>
    </xf>
    <xf numFmtId="174" fontId="6" fillId="0" borderId="14" xfId="277" applyNumberFormat="1" applyFont="1" applyBorder="1" applyAlignment="1" applyProtection="1"/>
    <xf numFmtId="42" fontId="6" fillId="0" borderId="0" xfId="277" applyNumberFormat="1" applyFont="1" applyAlignment="1" applyProtection="1"/>
    <xf numFmtId="172" fontId="78" fillId="0" borderId="0" xfId="277" applyFont="1" applyAlignment="1" applyProtection="1">
      <alignment horizontal="center" wrapText="1"/>
    </xf>
    <xf numFmtId="0" fontId="6" fillId="0" borderId="0" xfId="0" applyNumberFormat="1" applyFont="1" applyFill="1" applyAlignment="1" applyProtection="1"/>
    <xf numFmtId="42" fontId="6" fillId="0" borderId="0" xfId="277" applyNumberFormat="1" applyFont="1" applyFill="1" applyAlignment="1" applyProtection="1"/>
    <xf numFmtId="41" fontId="6" fillId="0" borderId="0" xfId="277" applyNumberFormat="1" applyFont="1" applyFill="1" applyAlignment="1" applyProtection="1"/>
    <xf numFmtId="43" fontId="6" fillId="0" borderId="0" xfId="86" applyFont="1" applyProtection="1"/>
    <xf numFmtId="0" fontId="6" fillId="0" borderId="0" xfId="277" applyNumberFormat="1" applyFont="1" applyFill="1" applyAlignment="1" applyProtection="1"/>
    <xf numFmtId="171" fontId="6" fillId="0" borderId="0" xfId="277" applyNumberFormat="1" applyFont="1" applyProtection="1"/>
    <xf numFmtId="10" fontId="6" fillId="0" borderId="0" xfId="277" applyNumberFormat="1" applyFont="1" applyAlignment="1" applyProtection="1"/>
    <xf numFmtId="10" fontId="6" fillId="0" borderId="0" xfId="277" applyNumberFormat="1" applyFont="1" applyProtection="1"/>
    <xf numFmtId="0" fontId="33" fillId="0" borderId="0" xfId="0" applyFont="1" applyProtection="1"/>
    <xf numFmtId="10" fontId="6" fillId="0" borderId="0" xfId="289" applyNumberFormat="1" applyFont="1" applyFill="1" applyAlignment="1" applyProtection="1"/>
    <xf numFmtId="186" fontId="6" fillId="0" borderId="0" xfId="277" applyNumberFormat="1" applyFont="1" applyProtection="1"/>
    <xf numFmtId="0" fontId="6" fillId="0" borderId="0" xfId="0" applyNumberFormat="1" applyFont="1" applyFill="1" applyProtection="1"/>
    <xf numFmtId="41" fontId="6" fillId="0" borderId="0" xfId="277" applyNumberFormat="1" applyFont="1" applyAlignment="1" applyProtection="1">
      <alignment horizontal="center"/>
    </xf>
    <xf numFmtId="41" fontId="6" fillId="0" borderId="14" xfId="277" applyNumberFormat="1" applyFont="1" applyBorder="1" applyAlignment="1" applyProtection="1">
      <alignment horizontal="center"/>
    </xf>
    <xf numFmtId="41" fontId="6" fillId="0" borderId="0" xfId="277" applyNumberFormat="1" applyFont="1" applyAlignment="1" applyProtection="1">
      <alignment horizontal="right"/>
    </xf>
    <xf numFmtId="42" fontId="6" fillId="0" borderId="0" xfId="289" applyNumberFormat="1" applyFont="1" applyAlignment="1" applyProtection="1"/>
    <xf numFmtId="43" fontId="6" fillId="0" borderId="0" xfId="277" applyNumberFormat="1" applyFont="1" applyAlignment="1" applyProtection="1">
      <alignment horizontal="right"/>
    </xf>
    <xf numFmtId="43" fontId="6" fillId="0" borderId="0" xfId="86" applyFont="1" applyAlignment="1" applyProtection="1"/>
    <xf numFmtId="172" fontId="6" fillId="0" borderId="0" xfId="277" applyFont="1" applyAlignment="1" applyProtection="1">
      <alignment horizontal="right"/>
    </xf>
    <xf numFmtId="0" fontId="33" fillId="0" borderId="0" xfId="0" applyFont="1" applyAlignment="1" applyProtection="1">
      <alignment horizontal="center"/>
    </xf>
    <xf numFmtId="49" fontId="6" fillId="0" borderId="0" xfId="277" applyNumberFormat="1" applyFont="1" applyAlignment="1" applyProtection="1">
      <alignment horizontal="left"/>
    </xf>
    <xf numFmtId="0" fontId="4" fillId="0" borderId="0" xfId="277" applyNumberFormat="1" applyFont="1" applyAlignment="1" applyProtection="1">
      <alignment horizontal="center" vertical="center"/>
    </xf>
    <xf numFmtId="3" fontId="7" fillId="0" borderId="0" xfId="277" applyNumberFormat="1" applyFont="1" applyAlignment="1" applyProtection="1">
      <alignment horizontal="center"/>
    </xf>
    <xf numFmtId="172" fontId="7" fillId="0" borderId="0" xfId="277" applyFont="1" applyAlignment="1" applyProtection="1">
      <alignment horizontal="center"/>
    </xf>
    <xf numFmtId="49" fontId="7" fillId="0" borderId="0" xfId="277" applyNumberFormat="1" applyFont="1" applyAlignment="1" applyProtection="1">
      <alignment horizontal="center"/>
    </xf>
    <xf numFmtId="0" fontId="11" fillId="0" borderId="0" xfId="277" applyNumberFormat="1" applyFont="1" applyAlignment="1" applyProtection="1">
      <alignment horizontal="center"/>
    </xf>
    <xf numFmtId="172" fontId="11" fillId="0" borderId="0" xfId="277" applyFont="1" applyBorder="1" applyAlignment="1" applyProtection="1">
      <alignment horizontal="center"/>
    </xf>
    <xf numFmtId="3" fontId="7" fillId="0" borderId="0" xfId="277" applyNumberFormat="1" applyFont="1" applyAlignment="1" applyProtection="1"/>
    <xf numFmtId="0" fontId="4" fillId="0" borderId="0" xfId="277" applyNumberFormat="1" applyFont="1" applyBorder="1" applyAlignment="1" applyProtection="1">
      <alignment horizontal="center"/>
    </xf>
    <xf numFmtId="3" fontId="15" fillId="0" borderId="0" xfId="277" applyNumberFormat="1" applyFont="1" applyAlignment="1" applyProtection="1">
      <alignment horizontal="center"/>
    </xf>
    <xf numFmtId="3" fontId="6" fillId="0" borderId="0" xfId="277" applyNumberFormat="1" applyFont="1" applyFill="1" applyBorder="1" applyAlignment="1" applyProtection="1">
      <alignment horizontal="center"/>
    </xf>
    <xf numFmtId="0" fontId="29" fillId="0" borderId="0" xfId="277" applyNumberFormat="1" applyFont="1" applyBorder="1" applyAlignment="1" applyProtection="1"/>
    <xf numFmtId="0" fontId="6" fillId="0" borderId="0" xfId="277" applyNumberFormat="1" applyFont="1" applyAlignment="1" applyProtection="1">
      <alignment horizontal="center" vertical="center"/>
    </xf>
    <xf numFmtId="0" fontId="6" fillId="0" borderId="0" xfId="277" applyNumberFormat="1" applyFont="1" applyBorder="1" applyAlignment="1" applyProtection="1">
      <alignment vertical="center"/>
    </xf>
    <xf numFmtId="3" fontId="6" fillId="0" borderId="0" xfId="277" applyNumberFormat="1" applyFont="1" applyFill="1" applyAlignment="1" applyProtection="1">
      <alignment vertical="center" wrapText="1"/>
    </xf>
    <xf numFmtId="3" fontId="6" fillId="0" borderId="0" xfId="277" applyNumberFormat="1" applyFont="1" applyFill="1" applyAlignment="1" applyProtection="1">
      <alignment horizontal="center" vertical="center"/>
    </xf>
    <xf numFmtId="3" fontId="6" fillId="0" borderId="0" xfId="277" applyNumberFormat="1" applyFont="1" applyFill="1" applyAlignment="1" applyProtection="1">
      <alignment vertical="center"/>
    </xf>
    <xf numFmtId="41" fontId="6" fillId="0" borderId="0" xfId="277" applyNumberFormat="1" applyFont="1" applyFill="1" applyAlignment="1" applyProtection="1">
      <alignment vertical="center"/>
    </xf>
    <xf numFmtId="3" fontId="6" fillId="0" borderId="0" xfId="277" applyNumberFormat="1" applyFont="1" applyAlignment="1" applyProtection="1">
      <alignment vertical="center"/>
    </xf>
    <xf numFmtId="0" fontId="6" fillId="0" borderId="0" xfId="277" applyNumberFormat="1" applyFont="1" applyFill="1" applyBorder="1" applyAlignment="1" applyProtection="1"/>
    <xf numFmtId="0" fontId="6" fillId="0" borderId="0" xfId="277" applyNumberFormat="1" applyFont="1" applyBorder="1" applyAlignment="1" applyProtection="1"/>
    <xf numFmtId="41" fontId="6" fillId="0" borderId="6" xfId="277" applyNumberFormat="1" applyFont="1" applyFill="1" applyBorder="1" applyAlignment="1" applyProtection="1"/>
    <xf numFmtId="0" fontId="33" fillId="0" borderId="0" xfId="0" applyFont="1" applyAlignment="1" applyProtection="1"/>
    <xf numFmtId="172" fontId="7" fillId="0" borderId="0" xfId="277" applyFont="1" applyFill="1" applyAlignment="1" applyProtection="1">
      <alignment horizontal="right"/>
    </xf>
    <xf numFmtId="178" fontId="7" fillId="0" borderId="0" xfId="277" applyNumberFormat="1" applyFont="1" applyFill="1" applyAlignment="1" applyProtection="1">
      <alignment horizontal="right"/>
    </xf>
    <xf numFmtId="166" fontId="7" fillId="0" borderId="0" xfId="277" applyNumberFormat="1" applyFont="1" applyFill="1" applyAlignment="1" applyProtection="1">
      <alignment horizontal="right"/>
    </xf>
    <xf numFmtId="178" fontId="6" fillId="0" borderId="0" xfId="277" applyNumberFormat="1" applyFont="1" applyAlignment="1" applyProtection="1"/>
    <xf numFmtId="184" fontId="6" fillId="0" borderId="0" xfId="277" applyNumberFormat="1" applyFont="1" applyFill="1" applyAlignment="1" applyProtection="1"/>
    <xf numFmtId="183" fontId="6" fillId="0" borderId="0" xfId="277" applyNumberFormat="1" applyFont="1" applyFill="1" applyAlignment="1" applyProtection="1"/>
    <xf numFmtId="165" fontId="6" fillId="0" borderId="0" xfId="277" applyNumberFormat="1" applyFont="1" applyFill="1" applyAlignment="1" applyProtection="1"/>
    <xf numFmtId="0" fontId="6" fillId="0" borderId="0" xfId="277"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77" applyNumberFormat="1" applyFont="1" applyFill="1" applyAlignment="1" applyProtection="1">
      <alignment horizontal="center"/>
    </xf>
    <xf numFmtId="0" fontId="4" fillId="32" borderId="0" xfId="277" applyNumberFormat="1" applyFont="1" applyFill="1" applyAlignment="1" applyProtection="1">
      <alignment horizontal="center"/>
    </xf>
    <xf numFmtId="41" fontId="6" fillId="0" borderId="0" xfId="277" applyNumberFormat="1" applyFont="1" applyAlignment="1" applyProtection="1"/>
    <xf numFmtId="165" fontId="6" fillId="0" borderId="0" xfId="277" applyNumberFormat="1" applyFont="1" applyAlignment="1" applyProtection="1"/>
    <xf numFmtId="3" fontId="7" fillId="0" borderId="0" xfId="277" applyNumberFormat="1" applyFont="1" applyFill="1" applyAlignment="1" applyProtection="1">
      <alignment horizontal="right"/>
    </xf>
    <xf numFmtId="182" fontId="6" fillId="0" borderId="0" xfId="86" applyNumberFormat="1" applyFont="1" applyFill="1" applyAlignment="1" applyProtection="1"/>
    <xf numFmtId="172" fontId="6" fillId="0" borderId="0" xfId="277" applyFont="1" applyBorder="1" applyAlignment="1" applyProtection="1"/>
    <xf numFmtId="164" fontId="6" fillId="0" borderId="0" xfId="277" applyNumberFormat="1" applyFont="1" applyFill="1" applyAlignment="1" applyProtection="1">
      <alignment horizontal="left"/>
    </xf>
    <xf numFmtId="0" fontId="33" fillId="0" borderId="0" xfId="0" applyFont="1" applyFill="1" applyProtection="1"/>
    <xf numFmtId="175" fontId="6" fillId="0" borderId="0" xfId="277" applyNumberFormat="1" applyFont="1" applyAlignment="1" applyProtection="1"/>
    <xf numFmtId="41" fontId="6" fillId="0" borderId="0" xfId="277" applyNumberFormat="1" applyFont="1" applyAlignment="1" applyProtection="1">
      <alignment horizontal="center" vertical="center"/>
    </xf>
    <xf numFmtId="41" fontId="6" fillId="0" borderId="6" xfId="277" applyNumberFormat="1" applyFont="1" applyBorder="1" applyAlignment="1" applyProtection="1"/>
    <xf numFmtId="41" fontId="6" fillId="0" borderId="16" xfId="277" applyNumberFormat="1" applyFont="1" applyBorder="1" applyAlignment="1" applyProtection="1"/>
    <xf numFmtId="164" fontId="6" fillId="0" borderId="0" xfId="277" applyNumberFormat="1" applyFont="1" applyAlignment="1" applyProtection="1">
      <alignment horizontal="center"/>
    </xf>
    <xf numFmtId="0" fontId="86" fillId="0" borderId="0" xfId="277" applyNumberFormat="1" applyFont="1" applyAlignment="1" applyProtection="1">
      <alignment horizontal="center"/>
    </xf>
    <xf numFmtId="3" fontId="6" fillId="0" borderId="0" xfId="277" applyNumberFormat="1" applyFont="1" applyAlignment="1" applyProtection="1">
      <alignment horizontal="right"/>
    </xf>
    <xf numFmtId="172" fontId="6" fillId="0" borderId="0" xfId="277" applyFont="1" applyAlignment="1" applyProtection="1">
      <alignment horizontal="center"/>
    </xf>
    <xf numFmtId="172" fontId="6" fillId="0" borderId="0" xfId="277" applyFont="1" applyFill="1" applyAlignment="1" applyProtection="1">
      <alignment horizontal="center"/>
    </xf>
    <xf numFmtId="0" fontId="0" fillId="0" borderId="0" xfId="0" applyAlignment="1" applyProtection="1">
      <alignment horizontal="center"/>
    </xf>
    <xf numFmtId="0" fontId="7" fillId="0" borderId="0" xfId="277" applyNumberFormat="1" applyFont="1" applyAlignment="1" applyProtection="1">
      <alignment horizontal="center"/>
    </xf>
    <xf numFmtId="172" fontId="7" fillId="0" borderId="0" xfId="277" applyFont="1" applyAlignment="1" applyProtection="1"/>
    <xf numFmtId="3" fontId="11" fillId="0" borderId="0" xfId="277" applyNumberFormat="1" applyFont="1" applyAlignment="1" applyProtection="1">
      <alignment horizontal="center"/>
    </xf>
    <xf numFmtId="3" fontId="7" fillId="0" borderId="0" xfId="277" applyNumberFormat="1" applyFont="1" applyFill="1" applyAlignment="1" applyProtection="1"/>
    <xf numFmtId="3" fontId="11" fillId="0" borderId="0" xfId="277" applyNumberFormat="1" applyFont="1" applyFill="1" applyAlignment="1" applyProtection="1"/>
    <xf numFmtId="3" fontId="11" fillId="0" borderId="0" xfId="277" applyNumberFormat="1" applyFont="1" applyAlignment="1" applyProtection="1"/>
    <xf numFmtId="41" fontId="151" fillId="32" borderId="0" xfId="277"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77" applyNumberFormat="1" applyFont="1" applyFill="1" applyAlignment="1" applyProtection="1">
      <alignment horizontal="center"/>
    </xf>
    <xf numFmtId="3" fontId="94" fillId="0" borderId="0" xfId="277" applyNumberFormat="1" applyFont="1" applyFill="1" applyAlignment="1" applyProtection="1">
      <alignment horizontal="right"/>
    </xf>
    <xf numFmtId="41" fontId="6" fillId="0" borderId="0" xfId="277" applyNumberFormat="1" applyFont="1" applyBorder="1" applyAlignment="1" applyProtection="1"/>
    <xf numFmtId="3" fontId="6" fillId="0" borderId="0" xfId="277" applyNumberFormat="1" applyFont="1" applyAlignment="1" applyProtection="1">
      <alignment vertical="center" wrapText="1"/>
    </xf>
    <xf numFmtId="41" fontId="94" fillId="0" borderId="0" xfId="277" applyNumberFormat="1" applyFont="1" applyFill="1" applyAlignment="1" applyProtection="1">
      <alignment horizontal="right"/>
    </xf>
    <xf numFmtId="3" fontId="6" fillId="0" borderId="0" xfId="277" applyNumberFormat="1" applyFont="1" applyAlignment="1" applyProtection="1">
      <alignment horizontal="center" vertical="center"/>
    </xf>
    <xf numFmtId="41" fontId="6" fillId="0" borderId="0" xfId="277" applyNumberFormat="1" applyFont="1" applyAlignment="1" applyProtection="1">
      <alignment vertical="center"/>
    </xf>
    <xf numFmtId="3" fontId="6" fillId="0" borderId="0" xfId="277" applyNumberFormat="1" applyFont="1" applyAlignment="1" applyProtection="1">
      <alignment horizontal="left" wrapText="1"/>
    </xf>
    <xf numFmtId="0" fontId="13" fillId="0" borderId="0" xfId="0" applyFont="1" applyAlignment="1" applyProtection="1">
      <alignment horizontal="left" wrapText="1"/>
    </xf>
    <xf numFmtId="3" fontId="6" fillId="0" borderId="0" xfId="277" applyNumberFormat="1" applyFont="1" applyFill="1" applyAlignment="1" applyProtection="1">
      <alignment horizontal="right"/>
    </xf>
    <xf numFmtId="43" fontId="6" fillId="0" borderId="0" xfId="289" applyNumberFormat="1" applyFont="1" applyFill="1" applyAlignment="1" applyProtection="1"/>
    <xf numFmtId="166" fontId="6" fillId="0" borderId="0" xfId="277" applyNumberFormat="1" applyFont="1" applyAlignment="1" applyProtection="1"/>
    <xf numFmtId="182" fontId="6" fillId="0" borderId="0" xfId="86" applyNumberFormat="1" applyFont="1" applyAlignment="1" applyProtection="1"/>
    <xf numFmtId="167" fontId="6" fillId="0" borderId="0" xfId="277" applyNumberFormat="1" applyFont="1" applyAlignment="1" applyProtection="1"/>
    <xf numFmtId="172" fontId="24" fillId="0" borderId="0" xfId="277" applyFont="1" applyAlignment="1" applyProtection="1"/>
    <xf numFmtId="164" fontId="6" fillId="0" borderId="0" xfId="277" applyNumberFormat="1" applyFont="1" applyBorder="1" applyAlignment="1" applyProtection="1">
      <alignment horizontal="left"/>
    </xf>
    <xf numFmtId="168" fontId="6" fillId="0" borderId="0" xfId="277" applyNumberFormat="1" applyFont="1" applyAlignment="1" applyProtection="1"/>
    <xf numFmtId="10" fontId="6" fillId="0" borderId="0" xfId="277" applyNumberFormat="1" applyFont="1" applyFill="1" applyAlignment="1" applyProtection="1">
      <alignment horizontal="right"/>
    </xf>
    <xf numFmtId="10" fontId="33" fillId="0" borderId="0" xfId="289" applyNumberFormat="1" applyFont="1" applyProtection="1"/>
    <xf numFmtId="3" fontId="24" fillId="0" borderId="0" xfId="277" applyNumberFormat="1" applyFont="1" applyAlignment="1" applyProtection="1"/>
    <xf numFmtId="167" fontId="6" fillId="0" borderId="0" xfId="277" applyNumberFormat="1" applyFont="1" applyFill="1" applyAlignment="1" applyProtection="1"/>
    <xf numFmtId="166" fontId="6" fillId="0" borderId="0" xfId="277" applyNumberFormat="1" applyFont="1" applyAlignment="1" applyProtection="1">
      <alignment horizontal="center"/>
    </xf>
    <xf numFmtId="188" fontId="24" fillId="0" borderId="0" xfId="277" applyNumberFormat="1" applyFont="1" applyAlignment="1" applyProtection="1">
      <alignment horizontal="center"/>
    </xf>
    <xf numFmtId="189" fontId="6" fillId="0" borderId="0" xfId="277" applyNumberFormat="1" applyFont="1" applyAlignment="1" applyProtection="1"/>
    <xf numFmtId="164" fontId="6" fillId="0" borderId="0" xfId="277" applyNumberFormat="1" applyFont="1" applyFill="1" applyBorder="1" applyAlignment="1" applyProtection="1">
      <alignment horizontal="left"/>
    </xf>
    <xf numFmtId="179" fontId="6" fillId="0" borderId="0" xfId="277" applyNumberFormat="1" applyFont="1" applyFill="1" applyAlignment="1" applyProtection="1">
      <alignment horizontal="right"/>
    </xf>
    <xf numFmtId="186" fontId="6" fillId="0" borderId="0" xfId="86" applyNumberFormat="1" applyFont="1" applyAlignment="1" applyProtection="1">
      <alignment horizontal="center"/>
    </xf>
    <xf numFmtId="41" fontId="24" fillId="0" borderId="0" xfId="277" applyNumberFormat="1" applyFont="1" applyAlignment="1" applyProtection="1"/>
    <xf numFmtId="43" fontId="24" fillId="0" borderId="0" xfId="86" applyFont="1" applyAlignment="1" applyProtection="1"/>
    <xf numFmtId="10" fontId="6" fillId="0" borderId="0" xfId="277" applyNumberFormat="1" applyFont="1" applyFill="1" applyAlignment="1" applyProtection="1">
      <alignment horizontal="left"/>
    </xf>
    <xf numFmtId="168" fontId="6" fillId="0" borderId="0" xfId="277" applyNumberFormat="1" applyFont="1" applyFill="1" applyAlignment="1" applyProtection="1">
      <alignment horizontal="left"/>
    </xf>
    <xf numFmtId="0" fontId="13" fillId="0" borderId="0" xfId="0" applyFont="1" applyProtection="1"/>
    <xf numFmtId="41" fontId="6" fillId="0" borderId="0" xfId="277" applyNumberFormat="1" applyFont="1" applyFill="1" applyAlignment="1" applyProtection="1">
      <alignment horizontal="right"/>
    </xf>
    <xf numFmtId="179" fontId="6" fillId="0" borderId="0" xfId="277" applyNumberFormat="1" applyFont="1" applyAlignment="1" applyProtection="1"/>
    <xf numFmtId="164" fontId="6" fillId="0" borderId="0" xfId="277" applyNumberFormat="1" applyFont="1" applyFill="1" applyBorder="1" applyAlignment="1" applyProtection="1">
      <alignment horizontal="left" vertical="center"/>
    </xf>
    <xf numFmtId="41" fontId="6" fillId="0" borderId="0" xfId="277" applyNumberFormat="1" applyFont="1" applyFill="1" applyAlignment="1" applyProtection="1">
      <alignment horizontal="center" vertical="center"/>
    </xf>
    <xf numFmtId="180" fontId="6" fillId="0" borderId="0" xfId="277" applyNumberFormat="1" applyFont="1" applyAlignment="1" applyProtection="1"/>
    <xf numFmtId="173" fontId="6" fillId="0" borderId="14" xfId="86" applyNumberFormat="1" applyFont="1" applyBorder="1" applyAlignment="1" applyProtection="1"/>
    <xf numFmtId="0" fontId="6" fillId="0" borderId="0" xfId="277" applyNumberFormat="1" applyFont="1" applyFill="1" applyBorder="1" applyAlignment="1" applyProtection="1">
      <alignment horizontal="left"/>
    </xf>
    <xf numFmtId="0" fontId="7" fillId="0" borderId="0" xfId="277" applyNumberFormat="1" applyFont="1" applyAlignment="1" applyProtection="1"/>
    <xf numFmtId="0" fontId="6" fillId="0" borderId="0" xfId="0" applyFont="1" applyFill="1" applyAlignment="1" applyProtection="1">
      <alignment horizontal="left"/>
    </xf>
    <xf numFmtId="0" fontId="6" fillId="0" borderId="0" xfId="277" applyNumberFormat="1" applyFont="1" applyFill="1" applyBorder="1" applyProtection="1"/>
    <xf numFmtId="3" fontId="6" fillId="0" borderId="0" xfId="277" applyNumberFormat="1" applyFont="1" applyFill="1" applyBorder="1" applyAlignment="1" applyProtection="1"/>
    <xf numFmtId="172" fontId="6" fillId="0" borderId="0" xfId="277" applyFont="1" applyFill="1" applyBorder="1" applyAlignment="1" applyProtection="1"/>
    <xf numFmtId="172" fontId="6" fillId="0" borderId="0" xfId="277" applyFont="1" applyFill="1" applyBorder="1" applyAlignment="1" applyProtection="1">
      <alignment horizontal="center"/>
    </xf>
    <xf numFmtId="3" fontId="6" fillId="0" borderId="0" xfId="277" applyNumberFormat="1" applyFont="1" applyFill="1" applyBorder="1" applyAlignment="1" applyProtection="1">
      <alignment horizontal="left"/>
    </xf>
    <xf numFmtId="0" fontId="6" fillId="0" borderId="0" xfId="277" applyNumberFormat="1" applyFont="1" applyFill="1" applyBorder="1" applyAlignment="1" applyProtection="1">
      <alignment horizontal="center"/>
    </xf>
    <xf numFmtId="49" fontId="6" fillId="0" borderId="0" xfId="277" applyNumberFormat="1" applyFont="1" applyFill="1" applyBorder="1" applyProtection="1"/>
    <xf numFmtId="49" fontId="6" fillId="0" borderId="0" xfId="277" applyNumberFormat="1" applyFont="1" applyFill="1" applyBorder="1" applyAlignment="1" applyProtection="1"/>
    <xf numFmtId="49" fontId="6" fillId="0" borderId="0" xfId="277" applyNumberFormat="1" applyFont="1" applyFill="1" applyBorder="1" applyAlignment="1" applyProtection="1">
      <alignment horizontal="center"/>
    </xf>
    <xf numFmtId="3" fontId="7" fillId="0" borderId="0" xfId="277" applyNumberFormat="1" applyFont="1" applyFill="1" applyBorder="1" applyAlignment="1" applyProtection="1">
      <alignment horizontal="right"/>
    </xf>
    <xf numFmtId="165" fontId="7" fillId="0" borderId="0" xfId="277" applyNumberFormat="1" applyFont="1" applyFill="1" applyBorder="1" applyAlignment="1" applyProtection="1">
      <alignment horizontal="right"/>
    </xf>
    <xf numFmtId="0" fontId="7" fillId="0" borderId="0" xfId="277" applyNumberFormat="1" applyFont="1" applyFill="1" applyAlignment="1" applyProtection="1"/>
    <xf numFmtId="3" fontId="6" fillId="0" borderId="0" xfId="277" applyNumberFormat="1" applyFont="1" applyFill="1" applyProtection="1"/>
    <xf numFmtId="3" fontId="6" fillId="0" borderId="0" xfId="277"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77" applyNumberFormat="1" applyFont="1" applyAlignment="1" applyProtection="1"/>
    <xf numFmtId="172" fontId="7" fillId="0" borderId="0" xfId="277" applyFont="1" applyAlignment="1" applyProtection="1">
      <alignment horizontal="right"/>
    </xf>
    <xf numFmtId="165" fontId="7" fillId="0" borderId="0" xfId="277" applyNumberFormat="1" applyFont="1" applyAlignment="1" applyProtection="1"/>
    <xf numFmtId="0" fontId="11" fillId="0" borderId="0" xfId="277" applyNumberFormat="1" applyFont="1" applyFill="1" applyBorder="1" applyAlignment="1" applyProtection="1"/>
    <xf numFmtId="3" fontId="6" fillId="0" borderId="6" xfId="277" applyNumberFormat="1" applyFont="1" applyFill="1" applyBorder="1" applyAlignment="1" applyProtection="1">
      <alignment horizontal="center"/>
    </xf>
    <xf numFmtId="41" fontId="7" fillId="0" borderId="0" xfId="277" applyNumberFormat="1" applyFont="1" applyFill="1" applyAlignment="1" applyProtection="1"/>
    <xf numFmtId="0" fontId="15" fillId="0" borderId="0" xfId="277" applyNumberFormat="1" applyFont="1" applyFill="1" applyBorder="1" applyAlignment="1" applyProtection="1">
      <alignment horizontal="left"/>
    </xf>
    <xf numFmtId="3" fontId="6" fillId="32" borderId="0" xfId="277" applyNumberFormat="1" applyFont="1" applyFill="1" applyAlignment="1" applyProtection="1"/>
    <xf numFmtId="0" fontId="13" fillId="0" borderId="0" xfId="0" applyFont="1" applyFill="1" applyProtection="1"/>
    <xf numFmtId="0" fontId="6" fillId="0" borderId="0" xfId="277" applyNumberFormat="1" applyFont="1" applyFill="1" applyAlignment="1" applyProtection="1">
      <alignment horizontal="left"/>
    </xf>
    <xf numFmtId="0" fontId="6" fillId="0" borderId="6" xfId="277" applyNumberFormat="1" applyFont="1" applyFill="1" applyBorder="1" applyAlignment="1" applyProtection="1">
      <alignment horizontal="center"/>
    </xf>
    <xf numFmtId="182" fontId="6" fillId="0" borderId="6" xfId="86" applyNumberFormat="1" applyFont="1" applyFill="1" applyBorder="1" applyAlignment="1" applyProtection="1">
      <alignment horizontal="center"/>
    </xf>
    <xf numFmtId="10" fontId="6" fillId="0" borderId="0" xfId="277" applyNumberFormat="1" applyFont="1" applyFill="1" applyAlignment="1" applyProtection="1"/>
    <xf numFmtId="169" fontId="6" fillId="0" borderId="0" xfId="277" applyNumberFormat="1" applyFont="1" applyFill="1" applyBorder="1" applyAlignment="1" applyProtection="1"/>
    <xf numFmtId="10" fontId="6" fillId="0" borderId="6" xfId="277" applyNumberFormat="1" applyFont="1" applyFill="1" applyBorder="1" applyAlignment="1" applyProtection="1"/>
    <xf numFmtId="169" fontId="6" fillId="0" borderId="6" xfId="277" applyNumberFormat="1" applyFont="1" applyFill="1" applyBorder="1" applyAlignment="1" applyProtection="1"/>
    <xf numFmtId="182" fontId="13" fillId="0" borderId="0" xfId="86" applyNumberFormat="1" applyFont="1" applyFill="1" applyProtection="1"/>
    <xf numFmtId="0" fontId="4" fillId="31" borderId="0" xfId="277" applyNumberFormat="1" applyFont="1" applyFill="1" applyAlignment="1" applyProtection="1">
      <alignment horizontal="center"/>
    </xf>
    <xf numFmtId="0" fontId="6" fillId="31" borderId="0" xfId="277" applyNumberFormat="1" applyFont="1" applyFill="1" applyAlignment="1" applyProtection="1">
      <alignment horizontal="center"/>
    </xf>
    <xf numFmtId="0" fontId="11" fillId="31" borderId="0" xfId="277" applyNumberFormat="1" applyFont="1" applyFill="1" applyBorder="1" applyAlignment="1" applyProtection="1"/>
    <xf numFmtId="0" fontId="6" fillId="31" borderId="0" xfId="277" applyNumberFormat="1" applyFont="1" applyFill="1" applyBorder="1" applyAlignment="1" applyProtection="1">
      <alignment horizontal="left"/>
    </xf>
    <xf numFmtId="3" fontId="6" fillId="31" borderId="0" xfId="277" applyNumberFormat="1" applyFont="1" applyFill="1" applyAlignment="1" applyProtection="1"/>
    <xf numFmtId="172" fontId="6" fillId="31" borderId="0" xfId="277" applyFont="1" applyFill="1" applyAlignment="1" applyProtection="1"/>
    <xf numFmtId="3" fontId="7" fillId="31" borderId="0" xfId="277" applyNumberFormat="1" applyFont="1" applyFill="1" applyAlignment="1" applyProtection="1"/>
    <xf numFmtId="166" fontId="7" fillId="31" borderId="0" xfId="277" applyNumberFormat="1" applyFont="1" applyFill="1" applyProtection="1"/>
    <xf numFmtId="0" fontId="6" fillId="31" borderId="0" xfId="277" applyNumberFormat="1" applyFont="1" applyFill="1" applyBorder="1" applyAlignment="1" applyProtection="1"/>
    <xf numFmtId="3" fontId="6" fillId="31" borderId="6" xfId="277" applyNumberFormat="1" applyFont="1" applyFill="1" applyBorder="1" applyAlignment="1" applyProtection="1">
      <alignment horizontal="center"/>
    </xf>
    <xf numFmtId="41" fontId="6" fillId="31" borderId="0" xfId="277" applyNumberFormat="1" applyFont="1" applyFill="1" applyAlignment="1" applyProtection="1"/>
    <xf numFmtId="0" fontId="15" fillId="31" borderId="0" xfId="277" applyNumberFormat="1" applyFont="1" applyFill="1" applyBorder="1" applyAlignment="1" applyProtection="1">
      <alignment horizontal="left"/>
    </xf>
    <xf numFmtId="0" fontId="0" fillId="31" borderId="0" xfId="0" applyFill="1" applyProtection="1"/>
    <xf numFmtId="0" fontId="6" fillId="31" borderId="0" xfId="277" applyNumberFormat="1" applyFont="1" applyFill="1" applyProtection="1"/>
    <xf numFmtId="0" fontId="33" fillId="31" borderId="0" xfId="0" applyFont="1" applyFill="1" applyProtection="1"/>
    <xf numFmtId="41" fontId="20" fillId="31" borderId="0" xfId="277" applyNumberFormat="1" applyFont="1" applyFill="1" applyAlignment="1" applyProtection="1"/>
    <xf numFmtId="10" fontId="6" fillId="31" borderId="0" xfId="289" applyNumberFormat="1" applyFont="1" applyFill="1" applyAlignment="1" applyProtection="1"/>
    <xf numFmtId="41" fontId="20" fillId="31" borderId="6" xfId="277" applyNumberFormat="1" applyFont="1" applyFill="1" applyBorder="1" applyAlignment="1" applyProtection="1"/>
    <xf numFmtId="0" fontId="6" fillId="31" borderId="0" xfId="277" applyNumberFormat="1" applyFont="1" applyFill="1" applyAlignment="1" applyProtection="1">
      <alignment horizontal="left"/>
    </xf>
    <xf numFmtId="3" fontId="24" fillId="31" borderId="0" xfId="277" applyNumberFormat="1" applyFont="1" applyFill="1" applyAlignment="1" applyProtection="1"/>
    <xf numFmtId="0" fontId="6" fillId="31" borderId="6" xfId="277" applyNumberFormat="1" applyFont="1" applyFill="1" applyBorder="1" applyAlignment="1" applyProtection="1">
      <alignment horizontal="center"/>
    </xf>
    <xf numFmtId="182" fontId="6" fillId="31" borderId="6" xfId="86" applyNumberFormat="1" applyFont="1" applyFill="1" applyBorder="1" applyAlignment="1" applyProtection="1">
      <alignment horizontal="center"/>
    </xf>
    <xf numFmtId="10" fontId="6" fillId="31" borderId="0" xfId="277" applyNumberFormat="1" applyFont="1" applyFill="1" applyAlignment="1" applyProtection="1"/>
    <xf numFmtId="169" fontId="24" fillId="31" borderId="0" xfId="277" applyNumberFormat="1" applyFont="1" applyFill="1" applyAlignment="1" applyProtection="1"/>
    <xf numFmtId="169" fontId="6" fillId="31" borderId="17" xfId="277" applyNumberFormat="1" applyFont="1" applyFill="1" applyBorder="1" applyAlignment="1" applyProtection="1"/>
    <xf numFmtId="3" fontId="6" fillId="0" borderId="0" xfId="277" quotePrefix="1" applyNumberFormat="1" applyFont="1" applyAlignment="1" applyProtection="1"/>
    <xf numFmtId="169" fontId="6" fillId="31" borderId="0" xfId="277" applyNumberFormat="1" applyFont="1" applyFill="1" applyBorder="1" applyAlignment="1" applyProtection="1"/>
    <xf numFmtId="10" fontId="6" fillId="31" borderId="0" xfId="277" applyNumberFormat="1" applyFont="1" applyFill="1" applyBorder="1" applyAlignment="1" applyProtection="1"/>
    <xf numFmtId="41" fontId="6" fillId="31" borderId="6" xfId="277" applyNumberFormat="1" applyFont="1" applyFill="1" applyBorder="1" applyAlignment="1" applyProtection="1"/>
    <xf numFmtId="169" fontId="6" fillId="31" borderId="6" xfId="277" applyNumberFormat="1" applyFont="1" applyFill="1" applyBorder="1" applyAlignment="1" applyProtection="1"/>
    <xf numFmtId="182" fontId="23" fillId="31" borderId="0" xfId="86" applyNumberFormat="1" applyFont="1" applyFill="1" applyProtection="1"/>
    <xf numFmtId="3" fontId="7" fillId="31" borderId="0" xfId="277" applyNumberFormat="1" applyFont="1" applyFill="1" applyAlignment="1" applyProtection="1">
      <alignment horizontal="right"/>
    </xf>
    <xf numFmtId="169" fontId="7" fillId="31" borderId="0" xfId="277" applyNumberFormat="1" applyFont="1" applyFill="1" applyAlignment="1" applyProtection="1"/>
    <xf numFmtId="3" fontId="7" fillId="0" borderId="0" xfId="277" quotePrefix="1" applyNumberFormat="1" applyFont="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77" applyNumberFormat="1" applyFont="1" applyAlignment="1" applyProtection="1"/>
    <xf numFmtId="172" fontId="6" fillId="0" borderId="0" xfId="277" applyFont="1" applyFill="1" applyAlignment="1" applyProtection="1">
      <alignment horizontal="right"/>
    </xf>
    <xf numFmtId="172" fontId="11" fillId="0" borderId="0" xfId="277" applyFont="1" applyAlignment="1" applyProtection="1">
      <alignment horizontal="center"/>
    </xf>
    <xf numFmtId="172" fontId="4" fillId="0" borderId="0" xfId="277" applyFont="1" applyFill="1" applyAlignment="1" applyProtection="1">
      <alignment horizontal="center"/>
    </xf>
    <xf numFmtId="172" fontId="4" fillId="0" borderId="0" xfId="277" applyFont="1" applyFill="1" applyAlignment="1" applyProtection="1"/>
    <xf numFmtId="10" fontId="6" fillId="0" borderId="0" xfId="277"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77" applyNumberFormat="1" applyFont="1" applyFill="1" applyAlignment="1" applyProtection="1"/>
    <xf numFmtId="0" fontId="108" fillId="0" borderId="0" xfId="277" applyNumberFormat="1" applyFont="1" applyFill="1" applyAlignment="1" applyProtection="1"/>
    <xf numFmtId="0" fontId="27" fillId="0" borderId="0" xfId="277" applyNumberFormat="1" applyFont="1" applyFill="1" applyProtection="1"/>
    <xf numFmtId="172" fontId="27" fillId="0" borderId="0" xfId="277" applyFont="1" applyFill="1" applyAlignment="1" applyProtection="1"/>
    <xf numFmtId="0" fontId="27" fillId="0" borderId="0" xfId="0" applyFont="1" applyAlignment="1" applyProtection="1">
      <alignment vertical="top" wrapText="1"/>
    </xf>
    <xf numFmtId="172" fontId="27" fillId="0" borderId="0" xfId="277" applyFont="1" applyFill="1" applyAlignment="1" applyProtection="1">
      <alignment wrapText="1"/>
    </xf>
    <xf numFmtId="172" fontId="108" fillId="0" borderId="0" xfId="277" applyFont="1" applyFill="1" applyAlignment="1" applyProtection="1"/>
    <xf numFmtId="172" fontId="24" fillId="0" borderId="0" xfId="277" applyFont="1" applyFill="1" applyAlignment="1" applyProtection="1"/>
    <xf numFmtId="0" fontId="4" fillId="0" borderId="0" xfId="277" applyNumberFormat="1" applyFont="1" applyFill="1" applyProtection="1"/>
    <xf numFmtId="172" fontId="4" fillId="0" borderId="0" xfId="277" applyFont="1" applyFill="1" applyAlignment="1" applyProtection="1">
      <alignment horizontal="center" wrapText="1"/>
    </xf>
    <xf numFmtId="172" fontId="78" fillId="0" borderId="0" xfId="277" applyFont="1" applyFill="1" applyAlignment="1" applyProtection="1">
      <alignment horizontal="center" wrapText="1"/>
    </xf>
    <xf numFmtId="0" fontId="6" fillId="32" borderId="0" xfId="277" applyNumberFormat="1" applyFont="1" applyFill="1" applyAlignment="1" applyProtection="1">
      <alignment vertical="top" wrapText="1"/>
    </xf>
    <xf numFmtId="0" fontId="13" fillId="32" borderId="0" xfId="0" applyFont="1" applyFill="1" applyProtection="1"/>
    <xf numFmtId="0" fontId="94" fillId="0" borderId="0" xfId="277" applyNumberFormat="1" applyFont="1" applyFill="1" applyAlignment="1" applyProtection="1">
      <alignment horizontal="center"/>
    </xf>
    <xf numFmtId="172" fontId="24" fillId="0" borderId="0" xfId="277" applyFont="1" applyAlignment="1" applyProtection="1">
      <alignment wrapText="1"/>
    </xf>
    <xf numFmtId="173" fontId="20" fillId="0" borderId="0" xfId="86" applyNumberFormat="1" applyFont="1" applyFill="1" applyAlignment="1" applyProtection="1">
      <alignment horizontal="right"/>
    </xf>
    <xf numFmtId="10" fontId="20" fillId="30" borderId="0" xfId="289"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20" applyFont="1" applyBorder="1" applyProtection="1"/>
    <xf numFmtId="0" fontId="6" fillId="0" borderId="0" xfId="220" applyFont="1" applyBorder="1" applyAlignment="1" applyProtection="1">
      <alignment horizontal="center"/>
    </xf>
    <xf numFmtId="0" fontId="13" fillId="0" borderId="0" xfId="220" applyFont="1" applyBorder="1" applyAlignment="1" applyProtection="1">
      <alignment horizontal="center"/>
    </xf>
    <xf numFmtId="0" fontId="18" fillId="0" borderId="0" xfId="270" applyFont="1" applyAlignment="1" applyProtection="1">
      <alignment horizontal="center"/>
    </xf>
    <xf numFmtId="0" fontId="13" fillId="0" borderId="0" xfId="0" applyFont="1" applyBorder="1" applyProtection="1"/>
    <xf numFmtId="0" fontId="13" fillId="0" borderId="0" xfId="220" applyFont="1" applyFill="1" applyBorder="1" applyProtection="1"/>
    <xf numFmtId="0" fontId="13" fillId="0" borderId="0" xfId="220" applyFont="1" applyFill="1" applyBorder="1" applyAlignment="1" applyProtection="1">
      <alignment horizontal="center" wrapText="1"/>
    </xf>
    <xf numFmtId="0" fontId="10" fillId="0" borderId="0" xfId="220" applyFont="1" applyFill="1" applyBorder="1" applyAlignment="1" applyProtection="1">
      <alignment horizontal="left"/>
    </xf>
    <xf numFmtId="0" fontId="13" fillId="0" borderId="0" xfId="220" applyFont="1" applyFill="1" applyBorder="1" applyAlignment="1" applyProtection="1"/>
    <xf numFmtId="0" fontId="13" fillId="0" borderId="0" xfId="220" applyNumberFormat="1" applyFont="1" applyFill="1" applyBorder="1" applyAlignment="1" applyProtection="1">
      <alignment horizontal="center"/>
    </xf>
    <xf numFmtId="3" fontId="13" fillId="0" borderId="0" xfId="220" applyNumberFormat="1" applyFont="1" applyFill="1" applyBorder="1" applyAlignment="1" applyProtection="1"/>
    <xf numFmtId="0" fontId="10" fillId="0" borderId="0" xfId="220"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20" applyNumberFormat="1" applyFont="1" applyFill="1" applyBorder="1" applyAlignment="1" applyProtection="1">
      <alignment horizontal="left"/>
    </xf>
    <xf numFmtId="0" fontId="13" fillId="0" borderId="0" xfId="220" applyFont="1" applyBorder="1" applyAlignment="1" applyProtection="1"/>
    <xf numFmtId="0" fontId="8" fillId="0" borderId="0" xfId="220"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70" applyNumberFormat="1" applyFont="1" applyAlignment="1" applyProtection="1">
      <alignment horizontal="center"/>
    </xf>
    <xf numFmtId="0" fontId="0" fillId="0" borderId="0" xfId="0" applyAlignment="1" applyProtection="1"/>
    <xf numFmtId="0" fontId="10" fillId="0" borderId="0" xfId="220" applyFont="1" applyBorder="1" applyAlignment="1" applyProtection="1">
      <alignment horizontal="center"/>
    </xf>
    <xf numFmtId="0" fontId="10" fillId="0" borderId="0" xfId="220" applyFont="1" applyFill="1" applyBorder="1" applyAlignment="1" applyProtection="1">
      <alignment horizontal="center"/>
    </xf>
    <xf numFmtId="0" fontId="10" fillId="0" borderId="0" xfId="220" applyFont="1" applyBorder="1" applyAlignment="1" applyProtection="1"/>
    <xf numFmtId="0" fontId="14" fillId="0" borderId="0" xfId="0" applyFont="1" applyBorder="1" applyProtection="1"/>
    <xf numFmtId="3" fontId="14" fillId="0" borderId="0" xfId="220" applyNumberFormat="1" applyFont="1" applyBorder="1" applyAlignment="1" applyProtection="1">
      <alignment horizontal="center"/>
    </xf>
    <xf numFmtId="0" fontId="10" fillId="0" borderId="0" xfId="220" applyNumberFormat="1" applyFont="1" applyFill="1" applyBorder="1" applyAlignment="1" applyProtection="1">
      <alignment horizontal="center"/>
    </xf>
    <xf numFmtId="0" fontId="18" fillId="0" borderId="0" xfId="220" applyFont="1" applyFill="1" applyBorder="1" applyAlignment="1" applyProtection="1">
      <alignment horizontal="center"/>
    </xf>
    <xf numFmtId="0" fontId="14" fillId="0" borderId="0" xfId="220"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91"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20"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70" applyFont="1" applyProtection="1"/>
    <xf numFmtId="0" fontId="13" fillId="25" borderId="0" xfId="220" applyNumberFormat="1" applyFont="1" applyFill="1" applyBorder="1" applyAlignment="1" applyProtection="1">
      <alignment horizontal="center"/>
    </xf>
    <xf numFmtId="0" fontId="10" fillId="25" borderId="0" xfId="220" applyNumberFormat="1" applyFont="1" applyFill="1" applyBorder="1" applyAlignment="1" applyProtection="1">
      <alignment horizontal="left"/>
    </xf>
    <xf numFmtId="0" fontId="9" fillId="25" borderId="0" xfId="220" applyFont="1" applyFill="1" applyBorder="1" applyAlignment="1" applyProtection="1"/>
    <xf numFmtId="0" fontId="13" fillId="25" borderId="0" xfId="220" applyNumberFormat="1" applyFont="1" applyFill="1" applyBorder="1" applyAlignment="1" applyProtection="1">
      <alignment horizontal="left"/>
    </xf>
    <xf numFmtId="0" fontId="13" fillId="25" borderId="0" xfId="220"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91"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20" applyNumberFormat="1" applyFont="1" applyFill="1" applyBorder="1" applyAlignment="1" applyProtection="1">
      <alignment horizontal="left"/>
    </xf>
    <xf numFmtId="0" fontId="13" fillId="0" borderId="0" xfId="270" applyFont="1" applyFill="1" applyProtection="1"/>
    <xf numFmtId="9" fontId="10" fillId="0" borderId="0" xfId="270" quotePrefix="1" applyNumberFormat="1" applyFont="1" applyFill="1" applyAlignment="1" applyProtection="1">
      <alignment horizontal="center"/>
    </xf>
    <xf numFmtId="0" fontId="10" fillId="0" borderId="0" xfId="270" applyFont="1" applyFill="1" applyAlignment="1" applyProtection="1">
      <alignment horizontal="center"/>
    </xf>
    <xf numFmtId="0" fontId="70" fillId="0" borderId="0" xfId="270" applyFont="1" applyFill="1" applyAlignment="1" applyProtection="1">
      <alignment horizontal="center"/>
    </xf>
    <xf numFmtId="0" fontId="18" fillId="0" borderId="0" xfId="270" applyFont="1" applyFill="1" applyAlignment="1" applyProtection="1">
      <alignment horizontal="center"/>
    </xf>
    <xf numFmtId="0" fontId="87" fillId="0" borderId="0" xfId="270" applyFont="1" applyFill="1" applyAlignment="1" applyProtection="1">
      <alignment horizontal="center"/>
    </xf>
    <xf numFmtId="38" fontId="13" fillId="0" borderId="0" xfId="220" applyNumberFormat="1" applyFont="1" applyFill="1" applyBorder="1" applyAlignment="1" applyProtection="1">
      <alignment horizontal="right"/>
    </xf>
    <xf numFmtId="37" fontId="13" fillId="0" borderId="0" xfId="220" applyNumberFormat="1" applyFont="1" applyFill="1" applyBorder="1" applyAlignment="1" applyProtection="1">
      <alignment horizontal="right"/>
    </xf>
    <xf numFmtId="0" fontId="13" fillId="0" borderId="0" xfId="220"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20" applyNumberFormat="1" applyFont="1" applyFill="1" applyBorder="1" applyAlignment="1" applyProtection="1"/>
    <xf numFmtId="37" fontId="9" fillId="0" borderId="0" xfId="220" applyNumberFormat="1" applyFont="1" applyFill="1" applyBorder="1" applyAlignment="1" applyProtection="1"/>
    <xf numFmtId="0" fontId="10" fillId="0" borderId="0" xfId="220" applyFont="1" applyBorder="1" applyProtection="1"/>
    <xf numFmtId="173" fontId="9" fillId="0" borderId="14" xfId="86" applyNumberFormat="1" applyFont="1" applyFill="1" applyBorder="1" applyAlignment="1" applyProtection="1"/>
    <xf numFmtId="0" fontId="13" fillId="0" borderId="14" xfId="220"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70" applyFill="1" applyAlignment="1" applyProtection="1">
      <alignment horizontal="left"/>
    </xf>
    <xf numFmtId="0" fontId="3" fillId="0" borderId="0" xfId="270" applyFill="1" applyProtection="1"/>
    <xf numFmtId="0" fontId="81" fillId="0" borderId="0" xfId="270"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0" fontId="10" fillId="0" borderId="0" xfId="270"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2" fillId="0" borderId="0" xfId="220" applyFont="1" applyBorder="1" applyProtection="1"/>
    <xf numFmtId="38" fontId="13" fillId="0" borderId="0" xfId="0" applyNumberFormat="1" applyFont="1" applyFill="1" applyBorder="1" applyProtection="1"/>
    <xf numFmtId="0" fontId="33" fillId="0" borderId="0" xfId="270" applyFont="1" applyFill="1" applyAlignment="1" applyProtection="1">
      <alignment horizontal="left"/>
    </xf>
    <xf numFmtId="0" fontId="33" fillId="0" borderId="0" xfId="270" applyFont="1" applyFill="1" applyProtection="1"/>
    <xf numFmtId="0" fontId="97" fillId="0" borderId="0" xfId="270" applyFont="1" applyFill="1" applyAlignment="1" applyProtection="1">
      <alignment horizontal="center"/>
    </xf>
    <xf numFmtId="0" fontId="98" fillId="0" borderId="0" xfId="270" applyFont="1" applyFill="1" applyBorder="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77"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82" applyFont="1" applyProtection="1"/>
    <xf numFmtId="0" fontId="4" fillId="0" borderId="0" xfId="282" applyFont="1" applyAlignment="1" applyProtection="1">
      <alignment horizontal="right"/>
    </xf>
    <xf numFmtId="0" fontId="11" fillId="0" borderId="0" xfId="282" applyFont="1" applyAlignment="1" applyProtection="1">
      <alignment horizontal="center"/>
    </xf>
    <xf numFmtId="0" fontId="27" fillId="0" borderId="0" xfId="0" applyFont="1" applyProtection="1"/>
    <xf numFmtId="0" fontId="6" fillId="0" borderId="0" xfId="282" applyFont="1" applyProtection="1"/>
    <xf numFmtId="0" fontId="83" fillId="0" borderId="0" xfId="282" applyFont="1" applyProtection="1"/>
    <xf numFmtId="0" fontId="27" fillId="0" borderId="0" xfId="0" applyFont="1" applyAlignment="1" applyProtection="1">
      <alignment horizontal="center"/>
    </xf>
    <xf numFmtId="0" fontId="11" fillId="0" borderId="0" xfId="282" applyFont="1" applyBorder="1" applyAlignment="1" applyProtection="1">
      <alignment horizontal="center"/>
    </xf>
    <xf numFmtId="0" fontId="4" fillId="0" borderId="0" xfId="0" applyFont="1" applyAlignment="1" applyProtection="1">
      <alignment horizontal="right"/>
    </xf>
    <xf numFmtId="0" fontId="7" fillId="0" borderId="0" xfId="282" applyFont="1" applyFill="1" applyProtection="1"/>
    <xf numFmtId="0" fontId="27" fillId="0" borderId="0" xfId="282" applyFont="1" applyAlignment="1" applyProtection="1">
      <alignment horizontal="center"/>
    </xf>
    <xf numFmtId="0" fontId="10" fillId="0" borderId="0" xfId="282" applyFont="1" applyFill="1" applyAlignment="1" applyProtection="1">
      <alignment horizontal="center"/>
    </xf>
    <xf numFmtId="0" fontId="10" fillId="0" borderId="0" xfId="282" applyFont="1" applyFill="1" applyProtection="1"/>
    <xf numFmtId="0" fontId="102" fillId="0" borderId="0" xfId="0" applyFont="1" applyProtection="1"/>
    <xf numFmtId="0" fontId="102" fillId="0" borderId="0" xfId="282" applyFont="1" applyProtection="1"/>
    <xf numFmtId="0" fontId="13" fillId="0" borderId="0" xfId="282" applyFont="1" applyProtection="1"/>
    <xf numFmtId="173" fontId="13" fillId="0" borderId="0" xfId="282" applyNumberFormat="1" applyFont="1" applyFill="1" applyProtection="1"/>
    <xf numFmtId="0" fontId="13" fillId="0" borderId="0" xfId="0" applyFont="1" applyAlignment="1" applyProtection="1">
      <alignment horizontal="center"/>
    </xf>
    <xf numFmtId="172" fontId="13" fillId="0" borderId="0" xfId="282" applyNumberFormat="1" applyFont="1" applyFill="1" applyAlignment="1" applyProtection="1">
      <alignment horizontal="center"/>
    </xf>
    <xf numFmtId="0" fontId="13" fillId="0" borderId="0" xfId="282" applyFont="1" applyFill="1" applyProtection="1"/>
    <xf numFmtId="0" fontId="10" fillId="0" borderId="0" xfId="282" applyFont="1" applyProtection="1"/>
    <xf numFmtId="43" fontId="13" fillId="0" borderId="0" xfId="118" applyFont="1" applyFill="1" applyProtection="1"/>
    <xf numFmtId="0" fontId="95" fillId="0" borderId="0" xfId="282" applyFont="1" applyProtection="1"/>
    <xf numFmtId="185" fontId="13" fillId="0" borderId="0" xfId="0" applyNumberFormat="1" applyFont="1" applyProtection="1"/>
    <xf numFmtId="173" fontId="13" fillId="0" borderId="0" xfId="282" applyNumberFormat="1" applyFont="1" applyProtection="1"/>
    <xf numFmtId="173" fontId="13" fillId="0" borderId="13" xfId="0" applyNumberFormat="1" applyFont="1" applyBorder="1" applyProtection="1"/>
    <xf numFmtId="173" fontId="13" fillId="0" borderId="0" xfId="282" applyNumberFormat="1" applyFont="1" applyBorder="1" applyProtection="1"/>
    <xf numFmtId="0" fontId="95" fillId="0" borderId="0" xfId="282" applyFont="1" applyFill="1" applyProtection="1"/>
    <xf numFmtId="173" fontId="13" fillId="0" borderId="13" xfId="282" applyNumberFormat="1" applyFont="1" applyBorder="1" applyProtection="1"/>
    <xf numFmtId="0" fontId="27" fillId="0" borderId="0" xfId="282" applyFont="1" applyProtection="1"/>
    <xf numFmtId="43" fontId="6" fillId="0" borderId="0" xfId="118" applyFont="1" applyFill="1" applyProtection="1"/>
    <xf numFmtId="173" fontId="6" fillId="0" borderId="0" xfId="282" applyNumberFormat="1" applyFont="1" applyProtection="1"/>
    <xf numFmtId="173" fontId="6" fillId="0" borderId="0" xfId="282"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8" applyNumberFormat="1" applyFont="1" applyFill="1" applyProtection="1">
      <protection locked="0"/>
    </xf>
    <xf numFmtId="41" fontId="20" fillId="30" borderId="0" xfId="270"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70"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6"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78" applyFont="1" applyProtection="1"/>
    <xf numFmtId="0" fontId="6" fillId="0" borderId="0" xfId="278" applyFont="1" applyProtection="1"/>
    <xf numFmtId="0" fontId="19" fillId="0" borderId="0" xfId="278" applyNumberFormat="1" applyFont="1" applyAlignment="1" applyProtection="1">
      <alignment horizontal="center"/>
    </xf>
    <xf numFmtId="0" fontId="19" fillId="0" borderId="0" xfId="278" applyNumberFormat="1" applyFont="1" applyProtection="1"/>
    <xf numFmtId="0" fontId="7" fillId="0" borderId="0" xfId="270" applyFont="1" applyFill="1" applyAlignment="1" applyProtection="1">
      <alignment horizontal="center"/>
    </xf>
    <xf numFmtId="0" fontId="13" fillId="0" borderId="0" xfId="278" applyNumberFormat="1" applyFont="1" applyProtection="1"/>
    <xf numFmtId="0" fontId="5" fillId="0" borderId="0" xfId="278" applyNumberFormat="1" applyFont="1" applyAlignment="1" applyProtection="1">
      <alignment horizontal="center"/>
    </xf>
    <xf numFmtId="0" fontId="5" fillId="0" borderId="0" xfId="278" applyNumberFormat="1" applyFont="1" applyProtection="1"/>
    <xf numFmtId="185" fontId="5" fillId="0" borderId="0" xfId="278" applyNumberFormat="1" applyFont="1" applyAlignment="1" applyProtection="1">
      <alignment horizontal="center"/>
    </xf>
    <xf numFmtId="0" fontId="75" fillId="0" borderId="0" xfId="278" applyFont="1" applyProtection="1"/>
    <xf numFmtId="0" fontId="10" fillId="0" borderId="0" xfId="278" applyFont="1" applyProtection="1"/>
    <xf numFmtId="0" fontId="5" fillId="0" borderId="11" xfId="278" applyNumberFormat="1" applyFont="1" applyBorder="1" applyAlignment="1" applyProtection="1">
      <alignment horizontal="center"/>
    </xf>
    <xf numFmtId="185" fontId="5" fillId="0" borderId="11" xfId="278" applyNumberFormat="1" applyFont="1" applyBorder="1" applyAlignment="1" applyProtection="1">
      <alignment horizontal="center"/>
    </xf>
    <xf numFmtId="0" fontId="75" fillId="0" borderId="11" xfId="278" applyFont="1" applyBorder="1" applyAlignment="1" applyProtection="1">
      <alignment horizontal="center"/>
    </xf>
    <xf numFmtId="0" fontId="10" fillId="0" borderId="0" xfId="278" applyFont="1" applyAlignment="1" applyProtection="1">
      <alignment horizontal="center"/>
    </xf>
    <xf numFmtId="0" fontId="19" fillId="0" borderId="0" xfId="278" applyNumberFormat="1" applyFont="1" applyBorder="1" applyAlignment="1" applyProtection="1">
      <alignment horizontal="center"/>
    </xf>
    <xf numFmtId="185" fontId="19" fillId="0" borderId="0" xfId="278" applyNumberFormat="1" applyFont="1" applyAlignment="1" applyProtection="1">
      <alignment horizontal="center"/>
    </xf>
    <xf numFmtId="0" fontId="72" fillId="0" borderId="0" xfId="278" applyFont="1" applyProtection="1"/>
    <xf numFmtId="185" fontId="73" fillId="0" borderId="0" xfId="278" applyNumberFormat="1" applyFont="1" applyProtection="1"/>
    <xf numFmtId="0" fontId="19" fillId="0" borderId="0" xfId="278" applyFont="1" applyProtection="1"/>
    <xf numFmtId="185" fontId="19" fillId="0" borderId="0" xfId="278" applyNumberFormat="1" applyFont="1" applyProtection="1"/>
    <xf numFmtId="0" fontId="74" fillId="0" borderId="0" xfId="278" applyFont="1" applyProtection="1"/>
    <xf numFmtId="173" fontId="72" fillId="0" borderId="0" xfId="278" applyNumberFormat="1" applyFont="1" applyBorder="1" applyProtection="1"/>
    <xf numFmtId="173" fontId="72" fillId="0" borderId="0" xfId="278" applyNumberFormat="1" applyFont="1" applyProtection="1"/>
    <xf numFmtId="173" fontId="72" fillId="0" borderId="0" xfId="278" applyNumberFormat="1" applyFont="1" applyFill="1" applyBorder="1" applyProtection="1"/>
    <xf numFmtId="0" fontId="72" fillId="0" borderId="0" xfId="278" applyFont="1" applyFill="1" applyBorder="1" applyProtection="1"/>
    <xf numFmtId="173" fontId="90" fillId="0" borderId="0" xfId="278" applyNumberFormat="1" applyFont="1" applyFill="1" applyBorder="1" applyProtection="1"/>
    <xf numFmtId="173" fontId="6" fillId="0" borderId="0" xfId="278" applyNumberFormat="1" applyFont="1" applyProtection="1"/>
    <xf numFmtId="173" fontId="77" fillId="0" borderId="0" xfId="278" applyNumberFormat="1" applyFont="1" applyProtection="1"/>
    <xf numFmtId="185" fontId="6" fillId="0" borderId="0" xfId="278" applyNumberFormat="1" applyFont="1" applyProtection="1"/>
    <xf numFmtId="173" fontId="77" fillId="0" borderId="0" xfId="86" applyNumberFormat="1" applyFont="1" applyProtection="1"/>
    <xf numFmtId="0" fontId="117" fillId="0" borderId="0" xfId="277" applyNumberFormat="1" applyFont="1" applyBorder="1" applyAlignment="1" applyProtection="1"/>
    <xf numFmtId="0" fontId="100" fillId="0" borderId="0" xfId="278" applyFont="1" applyFill="1" applyBorder="1" applyProtection="1"/>
    <xf numFmtId="0" fontId="100" fillId="0" borderId="0" xfId="278" applyFont="1" applyProtection="1"/>
    <xf numFmtId="173" fontId="118" fillId="0" borderId="0" xfId="278" applyNumberFormat="1" applyFont="1" applyProtection="1"/>
    <xf numFmtId="185" fontId="119" fillId="0" borderId="0" xfId="278" applyNumberFormat="1" applyFont="1" applyProtection="1"/>
    <xf numFmtId="173" fontId="118" fillId="0" borderId="0" xfId="86" applyNumberFormat="1" applyFont="1" applyProtection="1"/>
    <xf numFmtId="173" fontId="100" fillId="0" borderId="0" xfId="278" applyNumberFormat="1" applyFont="1" applyProtection="1"/>
    <xf numFmtId="0" fontId="72" fillId="0" borderId="0" xfId="278" applyFont="1" applyFill="1" applyProtection="1"/>
    <xf numFmtId="0" fontId="76" fillId="0" borderId="0" xfId="275" applyFont="1" applyFill="1" applyAlignment="1" applyProtection="1">
      <alignment horizontal="center"/>
    </xf>
    <xf numFmtId="0" fontId="76" fillId="0" borderId="0" xfId="275" applyFont="1" applyFill="1" applyAlignment="1" applyProtection="1">
      <alignment horizontal="left" indent="2"/>
    </xf>
    <xf numFmtId="39" fontId="76" fillId="0" borderId="0" xfId="275" applyNumberFormat="1" applyFont="1" applyFill="1" applyProtection="1"/>
    <xf numFmtId="173" fontId="72" fillId="0" borderId="0" xfId="278"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75" applyFont="1" applyFill="1" applyAlignment="1" applyProtection="1">
      <alignment horizontal="center"/>
    </xf>
    <xf numFmtId="173" fontId="72" fillId="0" borderId="14" xfId="86" applyNumberFormat="1" applyFont="1" applyBorder="1" applyProtection="1"/>
    <xf numFmtId="0" fontId="75" fillId="0" borderId="0" xfId="278" applyFont="1" applyAlignment="1" applyProtection="1">
      <alignment horizontal="center" wrapText="1"/>
    </xf>
    <xf numFmtId="0" fontId="80" fillId="0" borderId="0" xfId="278" applyFont="1" applyAlignment="1" applyProtection="1">
      <alignment horizontal="center"/>
    </xf>
    <xf numFmtId="0" fontId="19" fillId="0" borderId="0" xfId="278" applyNumberFormat="1" applyFont="1" applyFill="1" applyAlignment="1" applyProtection="1">
      <alignment horizontal="center"/>
    </xf>
    <xf numFmtId="0" fontId="13" fillId="0" borderId="0" xfId="278" applyNumberFormat="1" applyFont="1" applyFill="1" applyProtection="1"/>
    <xf numFmtId="0" fontId="100" fillId="0" borderId="0" xfId="278" applyFont="1" applyFill="1" applyProtection="1"/>
    <xf numFmtId="41" fontId="100" fillId="0" borderId="0" xfId="278" applyNumberFormat="1" applyFont="1" applyFill="1" applyProtection="1"/>
    <xf numFmtId="41" fontId="100" fillId="0" borderId="0" xfId="278" applyNumberFormat="1" applyFont="1" applyFill="1" applyBorder="1" applyProtection="1"/>
    <xf numFmtId="41" fontId="72" fillId="0" borderId="0" xfId="278" applyNumberFormat="1" applyFont="1" applyFill="1" applyProtection="1"/>
    <xf numFmtId="10" fontId="72" fillId="0" borderId="0" xfId="289" applyNumberFormat="1" applyFont="1" applyFill="1" applyProtection="1"/>
    <xf numFmtId="41" fontId="72" fillId="0" borderId="0" xfId="278" applyNumberFormat="1" applyFont="1" applyFill="1" applyBorder="1" applyProtection="1"/>
    <xf numFmtId="164" fontId="72" fillId="0" borderId="0" xfId="289" applyNumberFormat="1" applyFont="1" applyFill="1" applyProtection="1"/>
    <xf numFmtId="187" fontId="13" fillId="0" borderId="0" xfId="289" applyNumberFormat="1" applyFont="1" applyFill="1" applyProtection="1"/>
    <xf numFmtId="41" fontId="85" fillId="28" borderId="0" xfId="278" applyNumberFormat="1" applyFont="1" applyFill="1" applyProtection="1"/>
    <xf numFmtId="41" fontId="85" fillId="28" borderId="0" xfId="278" applyNumberFormat="1" applyFont="1" applyFill="1" applyBorder="1" applyProtection="1"/>
    <xf numFmtId="10" fontId="72" fillId="0" borderId="11" xfId="289" applyNumberFormat="1" applyFont="1" applyFill="1" applyBorder="1" applyProtection="1"/>
    <xf numFmtId="173" fontId="72" fillId="0" borderId="0" xfId="86" applyNumberFormat="1" applyFont="1" applyFill="1" applyProtection="1"/>
    <xf numFmtId="10" fontId="72" fillId="0" borderId="0" xfId="289" applyNumberFormat="1" applyFont="1" applyFill="1" applyBorder="1" applyProtection="1"/>
    <xf numFmtId="173" fontId="72" fillId="0" borderId="0" xfId="86" applyNumberFormat="1" applyFont="1" applyFill="1" applyBorder="1" applyProtection="1"/>
    <xf numFmtId="0" fontId="13" fillId="0" borderId="0" xfId="278" applyNumberFormat="1" applyFont="1" applyAlignment="1" applyProtection="1">
      <alignment horizontal="center"/>
    </xf>
    <xf numFmtId="185" fontId="13" fillId="0" borderId="0" xfId="278" applyNumberFormat="1" applyFont="1" applyProtection="1"/>
    <xf numFmtId="173" fontId="13" fillId="0" borderId="0" xfId="278" applyNumberFormat="1" applyFont="1" applyProtection="1"/>
    <xf numFmtId="173" fontId="72" fillId="0" borderId="18" xfId="86" applyNumberFormat="1" applyFont="1" applyFill="1" applyBorder="1" applyProtection="1"/>
    <xf numFmtId="0" fontId="75" fillId="30" borderId="0" xfId="278" applyFont="1" applyFill="1" applyProtection="1">
      <protection locked="0"/>
    </xf>
    <xf numFmtId="0" fontId="100" fillId="30" borderId="0" xfId="278" applyFont="1" applyFill="1" applyProtection="1">
      <protection locked="0"/>
    </xf>
    <xf numFmtId="0" fontId="72" fillId="30" borderId="0" xfId="278" applyFont="1" applyFill="1" applyProtection="1">
      <protection locked="0"/>
    </xf>
    <xf numFmtId="10" fontId="79" fillId="30" borderId="11" xfId="289" applyNumberFormat="1" applyFont="1" applyFill="1" applyBorder="1" applyProtection="1">
      <protection locked="0"/>
    </xf>
    <xf numFmtId="173" fontId="79" fillId="30" borderId="0" xfId="278"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77" applyNumberFormat="1" applyFont="1" applyBorder="1" applyAlignment="1" applyProtection="1"/>
    <xf numFmtId="3" fontId="13" fillId="0" borderId="0" xfId="277" applyNumberFormat="1" applyFont="1" applyAlignment="1" applyProtection="1"/>
    <xf numFmtId="10" fontId="3" fillId="0" borderId="0" xfId="289" applyNumberFormat="1" applyAlignment="1" applyProtection="1">
      <alignment horizontal="right"/>
    </xf>
    <xf numFmtId="172" fontId="13" fillId="0" borderId="0" xfId="277" applyFont="1" applyAlignment="1" applyProtection="1"/>
    <xf numFmtId="172" fontId="13" fillId="0" borderId="0" xfId="277" applyFont="1" applyBorder="1" applyAlignment="1" applyProtection="1"/>
    <xf numFmtId="3" fontId="13" fillId="0" borderId="0" xfId="277" applyNumberFormat="1" applyFont="1" applyFill="1" applyAlignment="1" applyProtection="1"/>
    <xf numFmtId="10" fontId="13" fillId="0" borderId="0" xfId="289" applyNumberFormat="1" applyFont="1" applyFill="1" applyAlignment="1" applyProtection="1">
      <alignment horizontal="right"/>
    </xf>
    <xf numFmtId="3" fontId="10" fillId="0" borderId="0" xfId="277" applyNumberFormat="1" applyFont="1" applyAlignment="1" applyProtection="1"/>
    <xf numFmtId="10" fontId="13" fillId="0" borderId="0" xfId="277" applyNumberFormat="1" applyFont="1" applyFill="1" applyAlignment="1" applyProtection="1">
      <alignment horizontal="right"/>
    </xf>
    <xf numFmtId="3" fontId="14" fillId="0" borderId="0" xfId="277" applyNumberFormat="1" applyFont="1" applyAlignment="1" applyProtection="1">
      <alignment horizontal="center"/>
    </xf>
    <xf numFmtId="10" fontId="14" fillId="0" borderId="0" xfId="277" applyNumberFormat="1" applyFont="1" applyFill="1" applyAlignment="1" applyProtection="1">
      <alignment horizontal="center"/>
    </xf>
    <xf numFmtId="0" fontId="13"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9" applyNumberFormat="1" applyFont="1" applyAlignment="1" applyProtection="1"/>
    <xf numFmtId="166" fontId="13" fillId="0" borderId="0" xfId="277" applyNumberFormat="1" applyFont="1" applyAlignment="1" applyProtection="1">
      <alignment horizontal="center"/>
    </xf>
    <xf numFmtId="166" fontId="13" fillId="0" borderId="0" xfId="277" applyNumberFormat="1" applyFont="1" applyBorder="1" applyAlignment="1" applyProtection="1">
      <alignment horizontal="center"/>
    </xf>
    <xf numFmtId="41" fontId="13" fillId="0" borderId="0" xfId="277" applyNumberFormat="1" applyFont="1" applyAlignment="1" applyProtection="1"/>
    <xf numFmtId="41" fontId="13" fillId="0" borderId="0" xfId="277" applyNumberFormat="1" applyFont="1" applyAlignment="1" applyProtection="1">
      <alignment horizontal="center"/>
    </xf>
    <xf numFmtId="41" fontId="13" fillId="0" borderId="0" xfId="277" applyNumberFormat="1" applyFont="1" applyBorder="1" applyAlignment="1" applyProtection="1">
      <alignment horizontal="center"/>
    </xf>
    <xf numFmtId="0" fontId="13" fillId="0" borderId="0" xfId="277" applyNumberFormat="1" applyFont="1" applyBorder="1" applyAlignment="1" applyProtection="1">
      <alignment horizontal="right"/>
    </xf>
    <xf numFmtId="164" fontId="14" fillId="0" borderId="0" xfId="289" applyNumberFormat="1" applyFont="1" applyAlignment="1" applyProtection="1"/>
    <xf numFmtId="3" fontId="13" fillId="0" borderId="0" xfId="277" applyNumberFormat="1" applyFont="1" applyAlignment="1" applyProtection="1">
      <alignment horizontal="right"/>
    </xf>
    <xf numFmtId="172" fontId="3" fillId="0" borderId="19" xfId="277" applyFont="1" applyBorder="1" applyAlignment="1" applyProtection="1"/>
    <xf numFmtId="0" fontId="3" fillId="0" borderId="0" xfId="277" applyNumberFormat="1" applyFont="1" applyBorder="1" applyAlignment="1" applyProtection="1">
      <alignment horizontal="center"/>
    </xf>
    <xf numFmtId="172" fontId="3" fillId="0" borderId="0" xfId="277" applyFont="1" applyBorder="1" applyAlignment="1" applyProtection="1"/>
    <xf numFmtId="3" fontId="3" fillId="0" borderId="20" xfId="277" applyNumberFormat="1" applyFont="1" applyBorder="1" applyAlignment="1" applyProtection="1"/>
    <xf numFmtId="10" fontId="13" fillId="0" borderId="0" xfId="277" applyNumberFormat="1" applyFont="1" applyFill="1" applyAlignment="1" applyProtection="1">
      <alignment horizontal="left"/>
    </xf>
    <xf numFmtId="41" fontId="13" fillId="0" borderId="0" xfId="277"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77" applyNumberFormat="1" applyFont="1" applyFill="1" applyAlignment="1" applyProtection="1"/>
    <xf numFmtId="166" fontId="3" fillId="0" borderId="21" xfId="277" applyNumberFormat="1" applyFont="1" applyBorder="1" applyAlignment="1" applyProtection="1">
      <alignment horizontal="center"/>
    </xf>
    <xf numFmtId="0" fontId="3" fillId="0" borderId="6" xfId="277" applyNumberFormat="1" applyFont="1" applyBorder="1" applyAlignment="1" applyProtection="1">
      <alignment horizontal="center"/>
    </xf>
    <xf numFmtId="174" fontId="3" fillId="0" borderId="22" xfId="0" applyNumberFormat="1" applyFont="1" applyBorder="1" applyProtection="1"/>
    <xf numFmtId="41" fontId="3" fillId="0" borderId="0" xfId="277" applyNumberFormat="1" applyFont="1" applyBorder="1" applyAlignment="1" applyProtection="1"/>
    <xf numFmtId="173" fontId="3" fillId="0" borderId="0" xfId="277" applyNumberFormat="1" applyFont="1" applyBorder="1" applyAlignment="1" applyProtection="1">
      <alignment horizontal="center"/>
    </xf>
    <xf numFmtId="41" fontId="13" fillId="0" borderId="0" xfId="277" applyNumberFormat="1" applyFont="1" applyFill="1" applyAlignment="1" applyProtection="1">
      <alignment horizontal="left"/>
    </xf>
    <xf numFmtId="41" fontId="3" fillId="0" borderId="0" xfId="277" applyNumberFormat="1" applyFont="1" applyFill="1" applyBorder="1" applyAlignment="1" applyProtection="1">
      <alignment horizontal="right"/>
    </xf>
    <xf numFmtId="167" fontId="13" fillId="0" borderId="0" xfId="277" applyNumberFormat="1" applyFont="1" applyAlignment="1" applyProtection="1"/>
    <xf numFmtId="164" fontId="13" fillId="0" borderId="0" xfId="277" applyNumberFormat="1" applyFont="1" applyFill="1" applyBorder="1" applyAlignment="1" applyProtection="1">
      <alignment horizontal="left"/>
    </xf>
    <xf numFmtId="164" fontId="13" fillId="0" borderId="0" xfId="277" applyNumberFormat="1" applyFont="1" applyBorder="1" applyAlignment="1" applyProtection="1">
      <alignment horizontal="left"/>
    </xf>
    <xf numFmtId="3" fontId="13" fillId="0" borderId="0" xfId="277" applyNumberFormat="1" applyFont="1" applyAlignment="1" applyProtection="1">
      <alignment vertical="center" wrapText="1"/>
    </xf>
    <xf numFmtId="41" fontId="13" fillId="0" borderId="0" xfId="277" applyNumberFormat="1" applyFont="1" applyBorder="1" applyAlignment="1" applyProtection="1">
      <alignment vertical="center"/>
    </xf>
    <xf numFmtId="41" fontId="13" fillId="0" borderId="0" xfId="277" applyNumberFormat="1" applyFont="1" applyBorder="1" applyAlignment="1" applyProtection="1">
      <alignment horizontal="center" vertical="center"/>
    </xf>
    <xf numFmtId="41" fontId="13" fillId="0" borderId="0" xfId="27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7" applyNumberFormat="1" applyFont="1" applyFill="1" applyBorder="1" applyAlignment="1" applyProtection="1"/>
    <xf numFmtId="41" fontId="13" fillId="0" borderId="6" xfId="277" applyNumberFormat="1" applyFont="1" applyFill="1" applyBorder="1" applyAlignment="1" applyProtection="1"/>
    <xf numFmtId="0" fontId="13" fillId="0" borderId="0" xfId="277" applyNumberFormat="1" applyFont="1" applyFill="1" applyBorder="1" applyAlignment="1" applyProtection="1"/>
    <xf numFmtId="3" fontId="13" fillId="0" borderId="0" xfId="277" applyNumberFormat="1" applyFont="1" applyFill="1" applyBorder="1" applyAlignment="1" applyProtection="1"/>
    <xf numFmtId="0" fontId="13" fillId="32" borderId="0" xfId="277" applyNumberFormat="1" applyFont="1" applyFill="1" applyBorder="1" applyAlignment="1" applyProtection="1"/>
    <xf numFmtId="41" fontId="13" fillId="0" borderId="0" xfId="277" applyNumberFormat="1" applyFont="1" applyFill="1" applyBorder="1" applyAlignment="1" applyProtection="1">
      <alignment horizontal="center"/>
    </xf>
    <xf numFmtId="0" fontId="13" fillId="0" borderId="0" xfId="277" applyNumberFormat="1" applyFont="1" applyFill="1" applyBorder="1" applyProtection="1"/>
    <xf numFmtId="41" fontId="14" fillId="0" borderId="0" xfId="277" applyNumberFormat="1" applyFont="1" applyFill="1" applyBorder="1" applyAlignment="1" applyProtection="1"/>
    <xf numFmtId="3" fontId="13" fillId="0" borderId="0" xfId="277" applyNumberFormat="1" applyFont="1" applyFill="1" applyBorder="1" applyAlignment="1" applyProtection="1">
      <alignment horizontal="center"/>
    </xf>
    <xf numFmtId="0" fontId="13" fillId="0" borderId="0" xfId="277" applyNumberFormat="1" applyFont="1" applyFill="1" applyBorder="1" applyAlignment="1" applyProtection="1">
      <alignment horizontal="center"/>
    </xf>
    <xf numFmtId="10" fontId="13" fillId="0" borderId="0" xfId="277" applyNumberFormat="1" applyFont="1" applyFill="1" applyBorder="1" applyAlignment="1" applyProtection="1"/>
    <xf numFmtId="169" fontId="13" fillId="0" borderId="0" xfId="277" applyNumberFormat="1" applyFont="1" applyFill="1" applyBorder="1" applyAlignment="1" applyProtection="1"/>
    <xf numFmtId="172" fontId="13" fillId="0" borderId="0" xfId="277" applyFont="1" applyFill="1" applyBorder="1" applyAlignment="1" applyProtection="1"/>
    <xf numFmtId="169" fontId="10" fillId="0" borderId="0" xfId="277"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77"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3" fillId="0" borderId="23" xfId="277" applyFont="1" applyBorder="1" applyAlignment="1" applyProtection="1"/>
    <xf numFmtId="172" fontId="13" fillId="0" borderId="17" xfId="277" applyFont="1" applyBorder="1" applyAlignment="1" applyProtection="1"/>
    <xf numFmtId="3" fontId="13" fillId="0" borderId="24" xfId="277" applyNumberFormat="1" applyFont="1" applyBorder="1" applyAlignment="1" applyProtection="1"/>
    <xf numFmtId="172" fontId="13" fillId="0" borderId="19" xfId="277" applyFont="1" applyBorder="1" applyAlignment="1" applyProtection="1"/>
    <xf numFmtId="3" fontId="13" fillId="0" borderId="20" xfId="277" applyNumberFormat="1" applyFont="1" applyBorder="1" applyAlignment="1" applyProtection="1"/>
    <xf numFmtId="0" fontId="13" fillId="0" borderId="0" xfId="277"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77" applyNumberFormat="1" applyFont="1" applyBorder="1" applyAlignment="1" applyProtection="1">
      <alignment horizontal="center"/>
    </xf>
    <xf numFmtId="0" fontId="13" fillId="0" borderId="6" xfId="277" applyNumberFormat="1" applyFont="1" applyBorder="1" applyAlignment="1" applyProtection="1">
      <alignment horizontal="center"/>
    </xf>
    <xf numFmtId="173" fontId="13" fillId="0" borderId="6" xfId="277" quotePrefix="1" applyNumberFormat="1" applyFont="1" applyBorder="1" applyAlignment="1" applyProtection="1">
      <alignment horizontal="center"/>
    </xf>
    <xf numFmtId="41" fontId="13" fillId="0" borderId="0" xfId="277" applyNumberFormat="1" applyFont="1" applyFill="1" applyBorder="1" applyAlignment="1" applyProtection="1">
      <alignment horizontal="right"/>
    </xf>
    <xf numFmtId="41" fontId="13" fillId="0" borderId="11" xfId="277" applyNumberFormat="1" applyFont="1" applyFill="1" applyBorder="1" applyAlignment="1" applyProtection="1"/>
    <xf numFmtId="10" fontId="13" fillId="0" borderId="0" xfId="289" applyNumberFormat="1" applyFont="1" applyFill="1" applyBorder="1" applyAlignment="1" applyProtection="1"/>
    <xf numFmtId="173" fontId="13" fillId="0" borderId="0" xfId="86" applyNumberFormat="1" applyFont="1" applyFill="1" applyBorder="1" applyProtection="1"/>
    <xf numFmtId="182"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70" applyFont="1" applyFill="1" applyProtection="1"/>
    <xf numFmtId="0" fontId="10" fillId="0" borderId="0" xfId="270" applyFont="1" applyFill="1" applyProtection="1"/>
    <xf numFmtId="3" fontId="10" fillId="0" borderId="0" xfId="277" applyNumberFormat="1" applyFont="1" applyFill="1" applyAlignment="1" applyProtection="1"/>
    <xf numFmtId="0" fontId="3" fillId="0" borderId="0" xfId="270" applyFont="1" applyFill="1" applyProtection="1"/>
    <xf numFmtId="0" fontId="3" fillId="0" borderId="0" xfId="270" applyFont="1" applyFill="1" applyAlignment="1" applyProtection="1">
      <alignment horizontal="left"/>
    </xf>
    <xf numFmtId="0" fontId="13" fillId="0" borderId="0" xfId="270" applyFont="1" applyFill="1" applyAlignment="1" applyProtection="1">
      <alignment horizontal="left"/>
    </xf>
    <xf numFmtId="0" fontId="10" fillId="0" borderId="0" xfId="270" applyFont="1" applyFill="1" applyAlignment="1" applyProtection="1">
      <alignment horizontal="left"/>
    </xf>
    <xf numFmtId="173" fontId="9" fillId="30" borderId="0" xfId="86" applyNumberFormat="1" applyFont="1" applyFill="1" applyBorder="1" applyProtection="1">
      <protection locked="0"/>
    </xf>
    <xf numFmtId="10" fontId="9" fillId="30" borderId="0" xfId="289" applyNumberFormat="1" applyFont="1" applyFill="1" applyAlignment="1" applyProtection="1">
      <alignment horizontal="right" wrapText="1"/>
      <protection locked="0"/>
    </xf>
    <xf numFmtId="44" fontId="9" fillId="30" borderId="0" xfId="121" applyFont="1" applyFill="1" applyAlignment="1" applyProtection="1">
      <alignment horizontal="right" wrapText="1"/>
      <protection locked="0"/>
    </xf>
    <xf numFmtId="173" fontId="21" fillId="30" borderId="0" xfId="86" applyNumberFormat="1" applyFont="1" applyFill="1" applyProtection="1">
      <protection locked="0"/>
    </xf>
    <xf numFmtId="191"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0" fontId="103" fillId="0" borderId="0" xfId="280" applyFont="1" applyAlignment="1" applyProtection="1"/>
    <xf numFmtId="0" fontId="4" fillId="0" borderId="0" xfId="280" applyProtection="1"/>
    <xf numFmtId="0" fontId="104" fillId="0" borderId="0" xfId="280" applyFont="1" applyProtection="1"/>
    <xf numFmtId="0" fontId="105" fillId="0" borderId="0" xfId="280" applyFont="1" applyAlignment="1" applyProtection="1">
      <alignment horizontal="center"/>
    </xf>
    <xf numFmtId="0" fontId="114" fillId="0" borderId="0" xfId="280" applyFont="1" applyAlignment="1" applyProtection="1">
      <alignment horizontal="center"/>
    </xf>
    <xf numFmtId="0" fontId="4" fillId="0" borderId="0" xfId="280" applyFont="1" applyAlignment="1" applyProtection="1">
      <alignment horizontal="center"/>
    </xf>
    <xf numFmtId="0" fontId="106" fillId="0" borderId="15" xfId="280" applyFont="1" applyBorder="1" applyProtection="1"/>
    <xf numFmtId="0" fontId="104" fillId="0" borderId="15" xfId="280" applyFont="1" applyBorder="1" applyProtection="1"/>
    <xf numFmtId="0" fontId="106" fillId="0" borderId="0" xfId="280" applyFont="1" applyBorder="1" applyProtection="1"/>
    <xf numFmtId="0" fontId="104" fillId="0" borderId="0" xfId="280" applyFont="1" applyBorder="1" applyProtection="1"/>
    <xf numFmtId="0" fontId="4" fillId="0" borderId="0" xfId="280" applyFont="1" applyFill="1" applyBorder="1" applyAlignment="1" applyProtection="1">
      <alignment horizontal="left"/>
    </xf>
    <xf numFmtId="0" fontId="4" fillId="0" borderId="0" xfId="280" applyFill="1" applyProtection="1"/>
    <xf numFmtId="0" fontId="4" fillId="0" borderId="0" xfId="280" applyFont="1" applyFill="1" applyBorder="1" applyProtection="1"/>
    <xf numFmtId="192" fontId="4" fillId="0" borderId="0" xfId="280" applyNumberFormat="1" applyFill="1" applyProtection="1"/>
    <xf numFmtId="0" fontId="4" fillId="0" borderId="0" xfId="280" applyFont="1" applyFill="1" applyBorder="1" applyAlignment="1" applyProtection="1">
      <alignment wrapText="1"/>
    </xf>
    <xf numFmtId="0" fontId="0" fillId="0" borderId="0" xfId="0" applyFill="1" applyBorder="1" applyAlignment="1" applyProtection="1">
      <alignment wrapText="1"/>
    </xf>
    <xf numFmtId="0" fontId="83" fillId="0" borderId="32" xfId="280" applyFont="1" applyFill="1" applyBorder="1" applyAlignment="1" applyProtection="1">
      <alignment horizontal="center"/>
    </xf>
    <xf numFmtId="0" fontId="4" fillId="0" borderId="33" xfId="280" applyFont="1" applyFill="1" applyBorder="1" applyProtection="1"/>
    <xf numFmtId="3" fontId="4" fillId="0" borderId="0" xfId="280" applyNumberFormat="1" applyFont="1" applyFill="1" applyBorder="1" applyProtection="1"/>
    <xf numFmtId="3" fontId="4" fillId="0" borderId="34" xfId="280" applyNumberFormat="1" applyFill="1" applyBorder="1" applyProtection="1"/>
    <xf numFmtId="0" fontId="6" fillId="0" borderId="33" xfId="280" applyFont="1" applyFill="1" applyBorder="1" applyProtection="1"/>
    <xf numFmtId="10" fontId="78" fillId="0" borderId="35" xfId="289" applyNumberFormat="1" applyFont="1" applyFill="1" applyBorder="1" applyAlignment="1" applyProtection="1">
      <alignment horizontal="center"/>
    </xf>
    <xf numFmtId="0" fontId="4" fillId="0" borderId="0" xfId="280" applyBorder="1" applyProtection="1"/>
    <xf numFmtId="0" fontId="4" fillId="0" borderId="0" xfId="280" applyFont="1" applyBorder="1" applyProtection="1"/>
    <xf numFmtId="0" fontId="13" fillId="0" borderId="0" xfId="284" applyFont="1" applyProtection="1"/>
    <xf numFmtId="0" fontId="10" fillId="0" borderId="0" xfId="284"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70" applyFont="1" applyFill="1" applyAlignment="1" applyProtection="1">
      <alignment horizontal="left" vertical="top" wrapText="1"/>
    </xf>
    <xf numFmtId="0" fontId="111" fillId="0" borderId="0" xfId="284" applyProtection="1"/>
    <xf numFmtId="0" fontId="10" fillId="0" borderId="0" xfId="284" applyFont="1" applyFill="1" applyProtection="1"/>
    <xf numFmtId="173" fontId="13" fillId="0" borderId="0" xfId="284" applyNumberFormat="1" applyFont="1" applyProtection="1"/>
    <xf numFmtId="0" fontId="13" fillId="0" borderId="0" xfId="284" applyFont="1" applyAlignment="1" applyProtection="1">
      <alignment vertical="top" wrapText="1"/>
    </xf>
    <xf numFmtId="10" fontId="13" fillId="0" borderId="0" xfId="284" applyNumberFormat="1" applyFont="1" applyProtection="1"/>
    <xf numFmtId="44" fontId="13" fillId="0" borderId="0" xfId="284" applyNumberFormat="1" applyFont="1" applyProtection="1"/>
    <xf numFmtId="0" fontId="115" fillId="0" borderId="0" xfId="284" applyFont="1" applyFill="1" applyProtection="1"/>
    <xf numFmtId="173" fontId="13" fillId="0" borderId="11" xfId="284" applyNumberFormat="1" applyFont="1" applyBorder="1" applyProtection="1"/>
    <xf numFmtId="10" fontId="13" fillId="0" borderId="0" xfId="289" applyNumberFormat="1" applyFont="1" applyProtection="1"/>
    <xf numFmtId="0" fontId="13" fillId="0" borderId="0" xfId="284" applyFont="1" applyFill="1" applyProtection="1"/>
    <xf numFmtId="10" fontId="13" fillId="0" borderId="0" xfId="289" applyNumberFormat="1" applyFont="1" applyFill="1" applyProtection="1"/>
    <xf numFmtId="10" fontId="13" fillId="32" borderId="0" xfId="289" applyNumberFormat="1" applyFont="1" applyFill="1" applyProtection="1"/>
    <xf numFmtId="10" fontId="13" fillId="0" borderId="11" xfId="289" applyNumberFormat="1" applyFont="1" applyBorder="1" applyProtection="1"/>
    <xf numFmtId="0" fontId="10" fillId="0" borderId="0" xfId="284" applyFont="1" applyProtection="1"/>
    <xf numFmtId="10" fontId="10" fillId="0" borderId="0" xfId="289" applyNumberFormat="1" applyFont="1" applyProtection="1"/>
    <xf numFmtId="173" fontId="13" fillId="0" borderId="11" xfId="86" applyNumberFormat="1" applyFont="1" applyFill="1" applyBorder="1" applyProtection="1"/>
    <xf numFmtId="0" fontId="116" fillId="0" borderId="0" xfId="284" applyFont="1" applyFill="1" applyProtection="1"/>
    <xf numFmtId="0" fontId="13" fillId="0" borderId="0" xfId="270" applyFont="1" applyFill="1" applyBorder="1" applyAlignment="1" applyProtection="1">
      <alignment horizontal="left"/>
    </xf>
    <xf numFmtId="0" fontId="95" fillId="0" borderId="0" xfId="284" applyFont="1" applyFill="1" applyProtection="1"/>
    <xf numFmtId="173" fontId="13" fillId="0" borderId="0" xfId="284" applyNumberFormat="1" applyFont="1" applyFill="1" applyProtection="1"/>
    <xf numFmtId="0" fontId="13" fillId="0" borderId="0" xfId="284" applyFont="1" applyFill="1" applyAlignment="1" applyProtection="1">
      <alignment vertical="top" wrapText="1"/>
    </xf>
    <xf numFmtId="43" fontId="13" fillId="0" borderId="0" xfId="284" applyNumberFormat="1" applyFont="1" applyProtection="1"/>
    <xf numFmtId="10" fontId="13" fillId="0" borderId="11" xfId="289" applyNumberFormat="1" applyFont="1" applyFill="1" applyBorder="1" applyProtection="1"/>
    <xf numFmtId="10" fontId="95" fillId="0" borderId="0" xfId="289" applyNumberFormat="1" applyFont="1" applyFill="1" applyProtection="1"/>
    <xf numFmtId="10" fontId="13" fillId="30" borderId="0" xfId="289" applyNumberFormat="1" applyFont="1" applyFill="1" applyAlignment="1" applyProtection="1">
      <alignment horizontal="right" wrapText="1"/>
      <protection locked="0"/>
    </xf>
    <xf numFmtId="164" fontId="9" fillId="30" borderId="0" xfId="289" applyNumberFormat="1" applyFont="1" applyFill="1" applyAlignment="1" applyProtection="1">
      <alignment horizontal="right" wrapText="1"/>
      <protection locked="0"/>
    </xf>
    <xf numFmtId="44" fontId="13" fillId="30" borderId="0" xfId="121"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9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6"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4" fontId="6" fillId="0" borderId="0" xfId="0" applyNumberFormat="1" applyFont="1" applyFill="1" applyProtection="1"/>
    <xf numFmtId="173" fontId="6" fillId="0" borderId="0" xfId="88" applyNumberFormat="1" applyFont="1" applyFill="1" applyProtection="1"/>
    <xf numFmtId="173" fontId="6" fillId="0" borderId="0" xfId="122" applyNumberFormat="1" applyFont="1" applyFill="1" applyProtection="1"/>
    <xf numFmtId="176" fontId="123" fillId="30" borderId="0" xfId="290" applyNumberFormat="1" applyFont="1" applyFill="1" applyProtection="1">
      <protection locked="0"/>
    </xf>
    <xf numFmtId="0" fontId="13" fillId="32" borderId="0" xfId="0" applyFont="1" applyFill="1" applyProtection="1"/>
    <xf numFmtId="173" fontId="3" fillId="30" borderId="6" xfId="277"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77" applyNumberFormat="1" applyFont="1" applyFill="1" applyBorder="1" applyAlignment="1" applyProtection="1"/>
    <xf numFmtId="41" fontId="13" fillId="32" borderId="0" xfId="277" applyNumberFormat="1" applyFont="1" applyFill="1" applyBorder="1" applyAlignment="1" applyProtection="1"/>
    <xf numFmtId="41" fontId="13" fillId="32" borderId="0" xfId="277"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70" applyFont="1" applyFill="1" applyAlignment="1" applyProtection="1">
      <alignment horizontal="left"/>
      <protection locked="0"/>
    </xf>
    <xf numFmtId="0" fontId="16" fillId="30" borderId="0" xfId="270" applyFont="1" applyFill="1" applyProtection="1">
      <protection locked="0"/>
    </xf>
    <xf numFmtId="0" fontId="11" fillId="30" borderId="0" xfId="270" applyFont="1" applyFill="1" applyAlignment="1" applyProtection="1">
      <alignment horizontal="center"/>
      <protection locked="0"/>
    </xf>
    <xf numFmtId="3" fontId="64" fillId="30" borderId="0" xfId="0" quotePrefix="1" applyNumberFormat="1" applyFont="1" applyFill="1" applyProtection="1">
      <protection locked="0"/>
    </xf>
    <xf numFmtId="3" fontId="126" fillId="30" borderId="0" xfId="0" applyNumberFormat="1" applyFont="1" applyFill="1" applyProtection="1">
      <protection locked="0"/>
    </xf>
    <xf numFmtId="41" fontId="126" fillId="30" borderId="0" xfId="270" applyNumberFormat="1" applyFont="1" applyFill="1" applyProtection="1">
      <protection locked="0"/>
    </xf>
    <xf numFmtId="0" fontId="64" fillId="0" borderId="0" xfId="270" applyFont="1" applyAlignment="1">
      <alignment horizontal="center"/>
    </xf>
    <xf numFmtId="0" fontId="64" fillId="0" borderId="0" xfId="270" applyFont="1"/>
    <xf numFmtId="41" fontId="64" fillId="0" borderId="0" xfId="270" applyNumberFormat="1" applyFont="1"/>
    <xf numFmtId="41" fontId="126" fillId="30" borderId="11" xfId="270" applyNumberFormat="1" applyFont="1" applyFill="1" applyBorder="1" applyProtection="1">
      <protection locked="0"/>
    </xf>
    <xf numFmtId="0" fontId="64" fillId="0" borderId="0" xfId="270"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70" applyNumberFormat="1" applyFont="1" applyFill="1"/>
    <xf numFmtId="38" fontId="64" fillId="0" borderId="0" xfId="0" applyNumberFormat="1" applyFont="1" applyFill="1" applyBorder="1" applyAlignment="1"/>
    <xf numFmtId="0" fontId="64" fillId="0" borderId="0" xfId="220" applyFont="1" applyFill="1" applyBorder="1" applyAlignment="1">
      <alignment horizontal="center"/>
    </xf>
    <xf numFmtId="0" fontId="64" fillId="0" borderId="0" xfId="220" applyFont="1" applyFill="1" applyBorder="1"/>
    <xf numFmtId="0" fontId="64" fillId="0" borderId="0" xfId="270" applyFont="1" applyAlignment="1">
      <alignment horizontal="left"/>
    </xf>
    <xf numFmtId="3" fontId="64" fillId="0" borderId="0" xfId="220" applyNumberFormat="1" applyFont="1" applyFill="1" applyBorder="1" applyAlignment="1"/>
    <xf numFmtId="38" fontId="64" fillId="0" borderId="0" xfId="0" applyNumberFormat="1" applyFont="1" applyFill="1" applyBorder="1" applyAlignment="1">
      <alignment horizontal="center"/>
    </xf>
    <xf numFmtId="0" fontId="128" fillId="0" borderId="0" xfId="270" applyFont="1" applyAlignment="1">
      <alignment horizontal="center"/>
    </xf>
    <xf numFmtId="0" fontId="41" fillId="0" borderId="0" xfId="270" applyFont="1" applyFill="1" applyAlignment="1">
      <alignment horizontal="center"/>
    </xf>
    <xf numFmtId="9" fontId="41" fillId="0" borderId="0" xfId="270" applyNumberFormat="1" applyFont="1" applyFill="1" applyAlignment="1">
      <alignment horizontal="center"/>
    </xf>
    <xf numFmtId="0" fontId="41" fillId="0" borderId="0" xfId="270" applyFont="1" applyFill="1" applyBorder="1"/>
    <xf numFmtId="0" fontId="41" fillId="0" borderId="0" xfId="270" applyFont="1" applyAlignment="1">
      <alignment horizontal="center" wrapText="1"/>
    </xf>
    <xf numFmtId="0" fontId="128" fillId="0" borderId="0" xfId="270" applyFont="1" applyAlignment="1">
      <alignment horizontal="right"/>
    </xf>
    <xf numFmtId="0" fontId="64" fillId="0" borderId="0" xfId="0" applyFont="1" applyAlignment="1">
      <alignment horizontal="center" wrapText="1"/>
    </xf>
    <xf numFmtId="0" fontId="41" fillId="0" borderId="11" xfId="270" applyFont="1" applyBorder="1" applyAlignment="1">
      <alignment horizontal="center"/>
    </xf>
    <xf numFmtId="173" fontId="154" fillId="30" borderId="0" xfId="86" applyNumberFormat="1" applyFont="1" applyFill="1"/>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83" applyFont="1" applyFill="1" applyAlignment="1" applyProtection="1">
      <alignment horizontal="center"/>
    </xf>
    <xf numFmtId="43" fontId="13" fillId="0" borderId="0" xfId="119" applyFont="1" applyFill="1" applyProtection="1"/>
    <xf numFmtId="173" fontId="9" fillId="30" borderId="0" xfId="119" applyNumberFormat="1" applyFont="1" applyFill="1" applyProtection="1">
      <protection locked="0"/>
    </xf>
    <xf numFmtId="173" fontId="13" fillId="0" borderId="0" xfId="283" applyNumberFormat="1" applyFont="1" applyFill="1" applyProtection="1"/>
    <xf numFmtId="0" fontId="131" fillId="0" borderId="0" xfId="0" applyFont="1" applyAlignment="1">
      <alignment vertical="center"/>
    </xf>
    <xf numFmtId="0" fontId="72" fillId="0" borderId="11" xfId="278" applyFont="1" applyBorder="1" applyAlignment="1">
      <alignment horizontal="center"/>
    </xf>
    <xf numFmtId="173" fontId="79" fillId="30" borderId="11" xfId="278" applyNumberFormat="1" applyFont="1" applyFill="1" applyBorder="1" applyProtection="1">
      <protection locked="0"/>
    </xf>
    <xf numFmtId="173" fontId="79" fillId="0" borderId="11" xfId="278" applyNumberFormat="1" applyFont="1" applyFill="1" applyBorder="1"/>
    <xf numFmtId="0" fontId="72" fillId="0" borderId="11" xfId="278" applyFont="1" applyBorder="1"/>
    <xf numFmtId="0" fontId="13" fillId="0" borderId="11" xfId="278" applyFont="1" applyBorder="1"/>
    <xf numFmtId="0" fontId="19" fillId="0" borderId="11" xfId="278" applyFont="1" applyFill="1" applyBorder="1"/>
    <xf numFmtId="173" fontId="90" fillId="0" borderId="11" xfId="278" applyNumberFormat="1" applyFont="1" applyFill="1" applyBorder="1"/>
    <xf numFmtId="173" fontId="72" fillId="0" borderId="0" xfId="278" applyNumberFormat="1" applyFont="1" applyFill="1" applyBorder="1" applyProtection="1">
      <protection locked="0"/>
    </xf>
    <xf numFmtId="9" fontId="79" fillId="30" borderId="0" xfId="289" applyFont="1" applyFill="1" applyBorder="1" applyProtection="1">
      <protection locked="0"/>
    </xf>
    <xf numFmtId="173" fontId="79" fillId="30" borderId="0" xfId="278" applyNumberFormat="1" applyFont="1" applyFill="1" applyBorder="1" applyAlignment="1" applyProtection="1">
      <alignment horizontal="center"/>
      <protection locked="0"/>
    </xf>
    <xf numFmtId="0" fontId="13" fillId="0" borderId="0" xfId="174"/>
    <xf numFmtId="0" fontId="13" fillId="0" borderId="0" xfId="174" applyAlignment="1">
      <alignment horizontal="center"/>
    </xf>
    <xf numFmtId="0" fontId="13" fillId="0" borderId="0" xfId="174" applyFont="1" applyFill="1" applyAlignment="1">
      <alignment horizontal="center"/>
    </xf>
    <xf numFmtId="0" fontId="13" fillId="0" borderId="0" xfId="174" applyFont="1" applyAlignment="1">
      <alignment horizontal="center"/>
    </xf>
    <xf numFmtId="0" fontId="13" fillId="0" borderId="0" xfId="174" applyFont="1" applyAlignment="1"/>
    <xf numFmtId="0" fontId="13" fillId="0" borderId="0" xfId="174" applyFill="1" applyAlignment="1"/>
    <xf numFmtId="0" fontId="13" fillId="0" borderId="0" xfId="174" applyProtection="1"/>
    <xf numFmtId="41" fontId="9" fillId="30" borderId="0" xfId="271" applyNumberFormat="1" applyFont="1" applyFill="1" applyProtection="1">
      <protection locked="0"/>
    </xf>
    <xf numFmtId="0" fontId="13" fillId="0" borderId="0" xfId="174" applyFont="1" applyFill="1" applyAlignment="1"/>
    <xf numFmtId="0" fontId="13" fillId="0" borderId="0" xfId="174" applyFill="1" applyAlignment="1">
      <alignment horizontal="center"/>
    </xf>
    <xf numFmtId="0" fontId="10" fillId="0" borderId="0" xfId="174" applyFont="1" applyFill="1" applyAlignment="1">
      <alignment horizontal="left"/>
    </xf>
    <xf numFmtId="3" fontId="13" fillId="0" borderId="0" xfId="174" applyNumberFormat="1" applyFont="1" applyFill="1" applyAlignment="1"/>
    <xf numFmtId="3" fontId="13" fillId="0" borderId="0" xfId="174" applyNumberFormat="1" applyFill="1" applyAlignment="1"/>
    <xf numFmtId="0" fontId="14" fillId="0" borderId="0" xfId="174" applyFont="1" applyFill="1" applyAlignment="1">
      <alignment horizontal="center"/>
    </xf>
    <xf numFmtId="3" fontId="13" fillId="0" borderId="0" xfId="174" applyNumberFormat="1" applyFont="1" applyFill="1" applyAlignment="1">
      <alignment horizontal="centerContinuous"/>
    </xf>
    <xf numFmtId="3" fontId="14" fillId="0" borderId="0" xfId="174" applyNumberFormat="1" applyFont="1" applyFill="1" applyAlignment="1">
      <alignment horizontal="centerContinuous"/>
    </xf>
    <xf numFmtId="3" fontId="13" fillId="0" borderId="0" xfId="174" applyNumberFormat="1" applyFill="1" applyAlignment="1">
      <alignment horizontal="centerContinuous"/>
    </xf>
    <xf numFmtId="3" fontId="13" fillId="0" borderId="36" xfId="174" applyNumberFormat="1" applyFont="1" applyFill="1" applyBorder="1" applyAlignment="1"/>
    <xf numFmtId="3" fontId="13" fillId="0" borderId="0" xfId="174" applyNumberFormat="1" applyFont="1" applyFill="1" applyAlignment="1">
      <alignment horizontal="left"/>
    </xf>
    <xf numFmtId="37" fontId="13" fillId="0" borderId="0" xfId="174" applyNumberFormat="1" applyFont="1" applyFill="1" applyAlignment="1"/>
    <xf numFmtId="37" fontId="13" fillId="0" borderId="0" xfId="174" applyNumberFormat="1" applyFont="1" applyFill="1" applyAlignment="1">
      <alignment horizontal="center"/>
    </xf>
    <xf numFmtId="37" fontId="13" fillId="0" borderId="36" xfId="174" applyNumberFormat="1" applyFont="1" applyFill="1" applyBorder="1" applyAlignment="1"/>
    <xf numFmtId="37" fontId="13" fillId="0" borderId="37" xfId="174" applyNumberFormat="1" applyFont="1" applyFill="1" applyBorder="1" applyAlignment="1"/>
    <xf numFmtId="37" fontId="13" fillId="0" borderId="0" xfId="174" applyNumberFormat="1" applyFill="1" applyAlignment="1"/>
    <xf numFmtId="37" fontId="13" fillId="0" borderId="38" xfId="174" applyNumberFormat="1" applyFont="1" applyFill="1" applyBorder="1" applyAlignment="1"/>
    <xf numFmtId="37" fontId="13" fillId="0" borderId="0" xfId="174" applyNumberFormat="1" applyFont="1" applyFill="1"/>
    <xf numFmtId="3" fontId="13" fillId="0" borderId="0" xfId="174" applyNumberFormat="1" applyFont="1" applyFill="1" applyAlignment="1" applyProtection="1">
      <alignment horizontal="center"/>
      <protection locked="0"/>
    </xf>
    <xf numFmtId="3" fontId="13" fillId="0" borderId="0" xfId="174" applyNumberFormat="1" applyFont="1" applyFill="1" applyAlignment="1">
      <alignment horizontal="center"/>
    </xf>
    <xf numFmtId="3" fontId="13" fillId="0" borderId="0" xfId="174" applyNumberFormat="1" applyFont="1" applyAlignment="1" applyProtection="1">
      <protection locked="0"/>
    </xf>
    <xf numFmtId="3" fontId="13" fillId="0" borderId="0" xfId="174" applyNumberFormat="1" applyFont="1" applyAlignment="1"/>
    <xf numFmtId="0" fontId="14" fillId="0" borderId="0" xfId="174" applyFont="1" applyAlignment="1">
      <alignment horizontal="center"/>
    </xf>
    <xf numFmtId="3" fontId="13" fillId="0" borderId="0" xfId="174" applyNumberFormat="1" applyFont="1" applyAlignment="1">
      <alignment horizontal="centerContinuous"/>
    </xf>
    <xf numFmtId="3" fontId="14" fillId="0" borderId="0" xfId="174" applyNumberFormat="1" applyFont="1" applyAlignment="1">
      <alignment horizontal="centerContinuous"/>
    </xf>
    <xf numFmtId="3" fontId="13" fillId="0" borderId="0" xfId="174" applyNumberFormat="1" applyAlignment="1">
      <alignment horizontal="centerContinuous"/>
    </xf>
    <xf numFmtId="3" fontId="13" fillId="0" borderId="36" xfId="174" applyNumberFormat="1" applyFont="1" applyBorder="1" applyAlignment="1"/>
    <xf numFmtId="0" fontId="13" fillId="0" borderId="0" xfId="174" applyFont="1" applyFill="1" applyAlignment="1">
      <alignment horizontal="left"/>
    </xf>
    <xf numFmtId="37" fontId="13" fillId="0" borderId="14" xfId="174" applyNumberFormat="1" applyFont="1" applyFill="1" applyBorder="1" applyAlignment="1"/>
    <xf numFmtId="37" fontId="13" fillId="0" borderId="0" xfId="174" applyNumberFormat="1"/>
    <xf numFmtId="37" fontId="155" fillId="0" borderId="37" xfId="174" applyNumberFormat="1" applyFont="1" applyFill="1" applyBorder="1" applyAlignment="1"/>
    <xf numFmtId="37" fontId="155" fillId="0" borderId="0" xfId="174" applyNumberFormat="1" applyFont="1" applyFill="1" applyAlignment="1"/>
    <xf numFmtId="4" fontId="13" fillId="0" borderId="0" xfId="174" applyNumberFormat="1" applyFont="1" applyFill="1" applyAlignment="1">
      <alignment horizontal="center"/>
    </xf>
    <xf numFmtId="195" fontId="9" fillId="30" borderId="0" xfId="271" applyNumberFormat="1" applyFont="1" applyFill="1" applyProtection="1">
      <protection locked="0"/>
    </xf>
    <xf numFmtId="3" fontId="13" fillId="33" borderId="0" xfId="174" applyNumberFormat="1" applyFont="1" applyFill="1" applyAlignment="1"/>
    <xf numFmtId="0" fontId="13" fillId="33" borderId="0" xfId="174" applyFill="1"/>
    <xf numFmtId="3" fontId="13" fillId="33" borderId="0" xfId="174" applyNumberFormat="1" applyFont="1" applyFill="1" applyAlignment="1" applyProtection="1">
      <alignment horizontal="center"/>
      <protection locked="0"/>
    </xf>
    <xf numFmtId="0" fontId="13" fillId="33" borderId="0" xfId="174" applyFont="1" applyFill="1" applyAlignment="1">
      <alignment horizontal="center"/>
    </xf>
    <xf numFmtId="0" fontId="14" fillId="33" borderId="0" xfId="174" applyFont="1" applyFill="1" applyAlignment="1">
      <alignment horizontal="center"/>
    </xf>
    <xf numFmtId="41" fontId="9" fillId="30" borderId="0" xfId="272" applyNumberFormat="1" applyFont="1" applyFill="1"/>
    <xf numFmtId="3" fontId="10" fillId="0" borderId="0" xfId="174" applyNumberFormat="1" applyFont="1" applyFill="1" applyAlignment="1">
      <alignment horizontal="left"/>
    </xf>
    <xf numFmtId="195" fontId="9" fillId="30" borderId="0" xfId="272" applyNumberFormat="1" applyFont="1" applyFill="1" applyProtection="1">
      <protection locked="0"/>
    </xf>
    <xf numFmtId="173" fontId="79" fillId="30" borderId="0" xfId="278" applyNumberFormat="1" applyFont="1" applyFill="1" applyBorder="1" applyProtection="1">
      <protection locked="0"/>
    </xf>
    <xf numFmtId="173" fontId="13" fillId="0" borderId="0" xfId="278" applyNumberFormat="1" applyFont="1"/>
    <xf numFmtId="173" fontId="79" fillId="30" borderId="0" xfId="278" applyNumberFormat="1" applyFont="1" applyFill="1" applyBorder="1" applyProtection="1">
      <protection locked="0"/>
    </xf>
    <xf numFmtId="0" fontId="19" fillId="0" borderId="11" xfId="278" applyNumberFormat="1" applyFont="1" applyBorder="1" applyAlignment="1">
      <alignment horizontal="center"/>
    </xf>
    <xf numFmtId="0" fontId="19" fillId="0" borderId="11" xfId="278" applyNumberFormat="1" applyFont="1" applyBorder="1"/>
    <xf numFmtId="0" fontId="19" fillId="0" borderId="11" xfId="278" applyFont="1" applyBorder="1"/>
    <xf numFmtId="173" fontId="72" fillId="0" borderId="11" xfId="278"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81" applyFont="1" applyAlignment="1">
      <alignment horizontal="centerContinuous"/>
    </xf>
    <xf numFmtId="0" fontId="13" fillId="0" borderId="0" xfId="281" applyFont="1" applyFill="1" applyAlignment="1">
      <alignment horizontal="left"/>
    </xf>
    <xf numFmtId="0" fontId="10" fillId="0" borderId="0" xfId="281" applyFont="1" applyAlignment="1">
      <alignment horizontal="center"/>
    </xf>
    <xf numFmtId="0" fontId="10" fillId="0" borderId="0" xfId="281" applyFont="1" applyBorder="1" applyAlignment="1">
      <alignment wrapText="1"/>
    </xf>
    <xf numFmtId="0" fontId="13" fillId="0" borderId="39" xfId="0" applyNumberFormat="1" applyFont="1" applyBorder="1" applyAlignment="1">
      <alignment horizontal="center" wrapText="1"/>
    </xf>
    <xf numFmtId="0" fontId="10" fillId="0" borderId="32" xfId="281" applyFont="1" applyBorder="1" applyAlignment="1">
      <alignment horizontal="center" wrapText="1"/>
    </xf>
    <xf numFmtId="0" fontId="10" fillId="0" borderId="0" xfId="281"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3" xfId="0" applyNumberFormat="1" applyFont="1" applyBorder="1" applyAlignment="1">
      <alignment horizontal="center"/>
    </xf>
    <xf numFmtId="0" fontId="10" fillId="0" borderId="34" xfId="281" applyFont="1" applyBorder="1" applyAlignment="1">
      <alignment horizontal="center"/>
    </xf>
    <xf numFmtId="0" fontId="10" fillId="0" borderId="0" xfId="281" applyFont="1" applyBorder="1" applyAlignment="1">
      <alignment horizontal="center"/>
    </xf>
    <xf numFmtId="0" fontId="10" fillId="0" borderId="34" xfId="269" applyFont="1" applyFill="1" applyBorder="1" applyAlignment="1">
      <alignment horizontal="center" wrapText="1"/>
    </xf>
    <xf numFmtId="0" fontId="133" fillId="0" borderId="0" xfId="0" applyFont="1" applyAlignment="1"/>
    <xf numFmtId="3" fontId="25" fillId="0" borderId="11" xfId="220" applyNumberFormat="1" applyFont="1" applyFill="1" applyBorder="1" applyAlignment="1">
      <alignment horizontal="center" wrapText="1"/>
    </xf>
    <xf numFmtId="3" fontId="25" fillId="0" borderId="35" xfId="220" applyNumberFormat="1" applyFont="1" applyFill="1" applyBorder="1" applyAlignment="1">
      <alignment horizontal="center" wrapText="1"/>
    </xf>
    <xf numFmtId="0" fontId="13" fillId="0" borderId="34" xfId="281" quotePrefix="1" applyFont="1" applyBorder="1" applyAlignment="1">
      <alignment horizontal="left"/>
    </xf>
    <xf numFmtId="173" fontId="9" fillId="26" borderId="0" xfId="112" applyNumberFormat="1" applyFont="1" applyFill="1" applyAlignment="1" applyProtection="1">
      <protection locked="0"/>
    </xf>
    <xf numFmtId="0" fontId="13" fillId="0" borderId="34" xfId="281" applyFont="1" applyBorder="1"/>
    <xf numFmtId="0" fontId="13" fillId="0" borderId="40" xfId="0" applyNumberFormat="1" applyFont="1" applyBorder="1" applyAlignment="1">
      <alignment horizontal="center"/>
    </xf>
    <xf numFmtId="0" fontId="13" fillId="0" borderId="35" xfId="281" applyFont="1" applyBorder="1"/>
    <xf numFmtId="0" fontId="13" fillId="0" borderId="35" xfId="281"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81" applyFont="1"/>
    <xf numFmtId="37" fontId="13" fillId="0" borderId="0" xfId="281" applyNumberFormat="1" applyFont="1"/>
    <xf numFmtId="172" fontId="13" fillId="0" borderId="0" xfId="274" applyFont="1" applyAlignment="1"/>
    <xf numFmtId="0" fontId="10" fillId="0" borderId="34" xfId="281" applyFont="1" applyBorder="1" applyAlignment="1">
      <alignment horizontal="center" wrapText="1"/>
    </xf>
    <xf numFmtId="0" fontId="13" fillId="0" borderId="16" xfId="0" applyNumberFormat="1" applyFont="1" applyBorder="1" applyAlignment="1">
      <alignment horizontal="center"/>
    </xf>
    <xf numFmtId="0" fontId="13" fillId="0" borderId="42" xfId="281" applyFont="1" applyBorder="1" applyAlignment="1">
      <alignment horizontal="right"/>
    </xf>
    <xf numFmtId="0" fontId="13" fillId="0" borderId="39" xfId="0" applyNumberFormat="1" applyFont="1" applyBorder="1" applyAlignment="1">
      <alignment horizontal="center"/>
    </xf>
    <xf numFmtId="0" fontId="10" fillId="0" borderId="2" xfId="281" applyFont="1" applyBorder="1" applyAlignment="1">
      <alignment horizontal="centerContinuous" wrapText="1"/>
    </xf>
    <xf numFmtId="0" fontId="13" fillId="0" borderId="39" xfId="0" applyFont="1" applyBorder="1" applyAlignment="1"/>
    <xf numFmtId="0" fontId="13" fillId="0" borderId="2" xfId="0" applyFont="1" applyBorder="1" applyAlignment="1"/>
    <xf numFmtId="0" fontId="13" fillId="0" borderId="33" xfId="0" applyNumberFormat="1" applyFont="1" applyBorder="1" applyAlignment="1">
      <alignment horizontal="center" wrapText="1"/>
    </xf>
    <xf numFmtId="0" fontId="10" fillId="0" borderId="33" xfId="281" applyFont="1" applyBorder="1" applyAlignment="1">
      <alignment horizontal="center" wrapText="1"/>
    </xf>
    <xf numFmtId="0" fontId="10" fillId="0" borderId="33" xfId="281" applyFont="1" applyBorder="1" applyAlignment="1">
      <alignment horizontal="center"/>
    </xf>
    <xf numFmtId="0" fontId="13" fillId="0" borderId="0" xfId="281" quotePrefix="1" applyFont="1" applyBorder="1" applyAlignment="1">
      <alignment horizontal="left"/>
    </xf>
    <xf numFmtId="173" fontId="9" fillId="26" borderId="33" xfId="112" applyNumberFormat="1" applyFont="1" applyFill="1" applyBorder="1" applyAlignment="1" applyProtection="1">
      <protection locked="0"/>
    </xf>
    <xf numFmtId="0" fontId="13" fillId="0" borderId="0" xfId="281" applyFont="1" applyBorder="1"/>
    <xf numFmtId="0" fontId="13" fillId="0" borderId="11" xfId="281" applyFont="1" applyBorder="1"/>
    <xf numFmtId="173" fontId="9" fillId="26" borderId="40" xfId="112" applyNumberFormat="1" applyFont="1" applyFill="1" applyBorder="1" applyAlignment="1" applyProtection="1">
      <protection locked="0"/>
    </xf>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20" applyFont="1" applyFill="1" applyBorder="1" applyAlignment="1">
      <alignment horizontal="left" vertical="center"/>
    </xf>
    <xf numFmtId="0" fontId="13" fillId="0" borderId="0" xfId="220" applyNumberFormat="1" applyFont="1" applyFill="1" applyBorder="1" applyAlignment="1">
      <alignment horizontal="center"/>
    </xf>
    <xf numFmtId="0" fontId="18" fillId="0" borderId="0" xfId="220" applyFont="1" applyBorder="1" applyAlignment="1">
      <alignment horizontal="center" vertical="center"/>
    </xf>
    <xf numFmtId="0" fontId="18" fillId="0" borderId="0" xfId="270" applyFont="1" applyAlignment="1">
      <alignment horizontal="center" vertical="center" wrapText="1"/>
    </xf>
    <xf numFmtId="0" fontId="18" fillId="0" borderId="0" xfId="220" quotePrefix="1" applyFont="1" applyBorder="1" applyAlignment="1">
      <alignment horizontal="center" vertical="center" wrapText="1"/>
    </xf>
    <xf numFmtId="0" fontId="18" fillId="0" borderId="0" xfId="220" applyFont="1" applyFill="1" applyBorder="1" applyAlignment="1">
      <alignment horizontal="left"/>
    </xf>
    <xf numFmtId="0" fontId="13" fillId="0" borderId="0" xfId="220" applyFont="1" applyFill="1" applyBorder="1" applyAlignment="1">
      <alignment horizontal="center"/>
    </xf>
    <xf numFmtId="3" fontId="13" fillId="0" borderId="0" xfId="220" applyNumberFormat="1" applyFont="1" applyFill="1" applyBorder="1" applyAlignment="1"/>
    <xf numFmtId="173" fontId="0" fillId="0" borderId="0" xfId="112" applyNumberFormat="1" applyFont="1" applyFill="1"/>
    <xf numFmtId="0" fontId="10" fillId="0" borderId="0" xfId="220" applyFont="1" applyFill="1" applyBorder="1" applyAlignment="1">
      <alignment horizontal="left"/>
    </xf>
    <xf numFmtId="0" fontId="13" fillId="0" borderId="0" xfId="220" applyFont="1" applyFill="1" applyBorder="1"/>
    <xf numFmtId="3" fontId="13" fillId="0" borderId="0" xfId="220" applyNumberFormat="1" applyFont="1" applyFill="1" applyBorder="1" applyAlignment="1">
      <alignment horizontal="right"/>
    </xf>
    <xf numFmtId="3" fontId="13" fillId="32" borderId="0" xfId="220" applyNumberFormat="1" applyFont="1" applyFill="1" applyBorder="1" applyAlignment="1"/>
    <xf numFmtId="0" fontId="13" fillId="0" borderId="0" xfId="220" applyFont="1" applyBorder="1"/>
    <xf numFmtId="0" fontId="13" fillId="30" borderId="0" xfId="220"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3" fillId="0" borderId="0" xfId="220" applyNumberFormat="1" applyFont="1" applyFill="1" applyBorder="1"/>
    <xf numFmtId="0" fontId="82" fillId="0" borderId="0" xfId="220" applyNumberFormat="1" applyFont="1" applyFill="1" applyBorder="1" applyAlignment="1">
      <alignment horizontal="center"/>
    </xf>
    <xf numFmtId="0" fontId="13" fillId="0" borderId="0" xfId="270" applyFont="1" applyFill="1" applyAlignment="1">
      <alignment horizontal="left"/>
    </xf>
    <xf numFmtId="0" fontId="98" fillId="0" borderId="0" xfId="270" applyFont="1" applyFill="1" applyBorder="1"/>
    <xf numFmtId="0" fontId="18" fillId="0" borderId="0" xfId="270"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12"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20" applyFont="1" applyFill="1" applyBorder="1" applyAlignment="1">
      <alignment horizontal="left"/>
    </xf>
    <xf numFmtId="43" fontId="6" fillId="0" borderId="6" xfId="277" applyNumberFormat="1" applyFont="1" applyFill="1" applyBorder="1" applyAlignment="1" applyProtection="1"/>
    <xf numFmtId="0" fontId="13" fillId="0" borderId="32" xfId="0" applyFont="1" applyBorder="1" applyAlignment="1"/>
    <xf numFmtId="173" fontId="9" fillId="30" borderId="34" xfId="89" applyNumberFormat="1" applyFont="1" applyFill="1" applyBorder="1" applyAlignment="1">
      <alignment horizontal="right"/>
    </xf>
    <xf numFmtId="0" fontId="13" fillId="0" borderId="0" xfId="174" applyNumberFormat="1" applyFont="1" applyAlignment="1">
      <alignment horizontal="center"/>
    </xf>
    <xf numFmtId="0" fontId="16" fillId="0" borderId="0" xfId="174" applyFont="1" applyAlignment="1"/>
    <xf numFmtId="0" fontId="16" fillId="0" borderId="0" xfId="174" applyNumberFormat="1" applyFont="1" applyAlignment="1">
      <alignment horizontal="center"/>
    </xf>
    <xf numFmtId="0" fontId="16" fillId="0" borderId="0" xfId="174" applyFont="1" applyAlignment="1">
      <alignment horizontal="right"/>
    </xf>
    <xf numFmtId="0" fontId="92" fillId="0" borderId="0" xfId="281" applyFont="1" applyAlignment="1">
      <alignment horizontal="centerContinuous"/>
    </xf>
    <xf numFmtId="0" fontId="16" fillId="0" borderId="0" xfId="281" applyFont="1" applyFill="1" applyAlignment="1">
      <alignment horizontal="left"/>
    </xf>
    <xf numFmtId="0" fontId="92" fillId="0" borderId="0" xfId="281" applyFont="1" applyAlignment="1">
      <alignment horizontal="center"/>
    </xf>
    <xf numFmtId="0" fontId="13" fillId="0" borderId="0" xfId="174" applyFont="1"/>
    <xf numFmtId="0" fontId="13" fillId="0" borderId="39" xfId="174" applyNumberFormat="1" applyFont="1" applyBorder="1" applyAlignment="1">
      <alignment horizontal="center" wrapText="1"/>
    </xf>
    <xf numFmtId="0" fontId="10" fillId="0" borderId="44" xfId="281" applyFont="1" applyBorder="1" applyAlignment="1">
      <alignment horizontal="center" wrapText="1"/>
    </xf>
    <xf numFmtId="0" fontId="16" fillId="0" borderId="0" xfId="174" applyFont="1" applyAlignment="1">
      <alignment wrapText="1"/>
    </xf>
    <xf numFmtId="0" fontId="13" fillId="0" borderId="33" xfId="174" applyNumberFormat="1" applyFont="1" applyBorder="1" applyAlignment="1">
      <alignment horizontal="center"/>
    </xf>
    <xf numFmtId="0" fontId="10" fillId="0" borderId="10" xfId="281" applyFont="1" applyBorder="1" applyAlignment="1">
      <alignment horizontal="center"/>
    </xf>
    <xf numFmtId="0" fontId="135" fillId="0" borderId="0" xfId="174" applyFont="1" applyAlignment="1"/>
    <xf numFmtId="3" fontId="25" fillId="0" borderId="40" xfId="220" applyNumberFormat="1" applyFont="1" applyFill="1" applyBorder="1" applyAlignment="1">
      <alignment horizontal="center" wrapText="1"/>
    </xf>
    <xf numFmtId="3" fontId="25" fillId="0" borderId="45" xfId="220" applyNumberFormat="1" applyFont="1" applyFill="1" applyBorder="1" applyAlignment="1">
      <alignment wrapText="1"/>
    </xf>
    <xf numFmtId="173" fontId="9" fillId="26" borderId="0" xfId="111" applyNumberFormat="1" applyFont="1" applyFill="1" applyAlignment="1" applyProtection="1">
      <protection locked="0"/>
    </xf>
    <xf numFmtId="41" fontId="13" fillId="0" borderId="10" xfId="281" applyNumberFormat="1" applyFont="1" applyFill="1" applyBorder="1"/>
    <xf numFmtId="0" fontId="13" fillId="0" borderId="40" xfId="174" applyNumberFormat="1" applyFont="1" applyBorder="1" applyAlignment="1">
      <alignment horizontal="center"/>
    </xf>
    <xf numFmtId="173" fontId="13" fillId="0" borderId="46" xfId="88" applyNumberFormat="1" applyFont="1" applyBorder="1"/>
    <xf numFmtId="3" fontId="25" fillId="0" borderId="45" xfId="220"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74" applyNumberFormat="1" applyFont="1" applyBorder="1" applyAlignment="1">
      <alignment horizontal="center"/>
    </xf>
    <xf numFmtId="0" fontId="16" fillId="0" borderId="0" xfId="281" applyFont="1"/>
    <xf numFmtId="37" fontId="16" fillId="0" borderId="0" xfId="281" applyNumberFormat="1" applyFont="1"/>
    <xf numFmtId="172" fontId="16" fillId="0" borderId="0" xfId="274" applyFont="1" applyAlignment="1"/>
    <xf numFmtId="0" fontId="13" fillId="0" borderId="0" xfId="271" applyFont="1" applyFill="1" applyAlignment="1" applyProtection="1">
      <alignment vertical="top"/>
    </xf>
    <xf numFmtId="0" fontId="13" fillId="0" borderId="0" xfId="174" applyFont="1" applyAlignment="1" applyProtection="1">
      <alignment vertical="top" wrapText="1"/>
    </xf>
    <xf numFmtId="0" fontId="135" fillId="0" borderId="0" xfId="174" applyNumberFormat="1" applyFont="1" applyAlignment="1">
      <alignment horizontal="center"/>
    </xf>
    <xf numFmtId="0" fontId="91" fillId="0" borderId="0" xfId="272" applyFont="1" applyFill="1" applyProtection="1"/>
    <xf numFmtId="0" fontId="92" fillId="0" borderId="0" xfId="174" applyFont="1" applyAlignment="1">
      <alignment horizontal="center"/>
    </xf>
    <xf numFmtId="0" fontId="92" fillId="0" borderId="0" xfId="174" quotePrefix="1" applyFont="1" applyAlignment="1">
      <alignment horizontal="center"/>
    </xf>
    <xf numFmtId="0" fontId="10" fillId="0" borderId="0" xfId="272" applyFont="1" applyFill="1" applyAlignment="1" applyProtection="1">
      <alignment horizontal="left"/>
    </xf>
    <xf numFmtId="173" fontId="13" fillId="0" borderId="0" xfId="88" applyNumberFormat="1" applyFont="1" applyFill="1" applyProtection="1"/>
    <xf numFmtId="0" fontId="13" fillId="0" borderId="0" xfId="272" applyFont="1" applyFill="1" applyProtection="1"/>
    <xf numFmtId="0" fontId="13" fillId="0" borderId="0" xfId="194"/>
    <xf numFmtId="0" fontId="13" fillId="0" borderId="0" xfId="272" applyFont="1" applyFill="1" applyAlignment="1" applyProtection="1">
      <alignment horizontal="left"/>
    </xf>
    <xf numFmtId="173" fontId="9" fillId="30" borderId="0" xfId="88" applyNumberFormat="1" applyFont="1" applyFill="1" applyProtection="1">
      <protection locked="0"/>
    </xf>
    <xf numFmtId="0" fontId="13" fillId="0" borderId="0" xfId="194" applyProtection="1"/>
    <xf numFmtId="10" fontId="13" fillId="0" borderId="0" xfId="290" applyNumberFormat="1" applyFont="1" applyFill="1" applyBorder="1" applyProtection="1"/>
    <xf numFmtId="173" fontId="9" fillId="26" borderId="6" xfId="88" applyNumberFormat="1" applyFont="1" applyFill="1" applyBorder="1" applyAlignment="1" applyProtection="1">
      <protection locked="0"/>
    </xf>
    <xf numFmtId="10" fontId="10" fillId="0" borderId="0" xfId="290" applyNumberFormat="1" applyFont="1" applyFill="1" applyBorder="1" applyProtection="1"/>
    <xf numFmtId="0" fontId="10" fillId="0" borderId="0" xfId="272" applyFont="1" applyFill="1" applyProtection="1"/>
    <xf numFmtId="173" fontId="10" fillId="0" borderId="0" xfId="290" applyNumberFormat="1" applyFont="1" applyFill="1" applyBorder="1" applyProtection="1"/>
    <xf numFmtId="173" fontId="13" fillId="0" borderId="0" xfId="290" applyNumberFormat="1" applyFont="1" applyFill="1" applyBorder="1" applyProtection="1"/>
    <xf numFmtId="10" fontId="10" fillId="0" borderId="18" xfId="290" applyNumberFormat="1" applyFont="1" applyFill="1" applyBorder="1" applyProtection="1"/>
    <xf numFmtId="0" fontId="101" fillId="0" borderId="0" xfId="194" applyFont="1" applyAlignment="1" applyProtection="1">
      <alignment horizontal="center"/>
    </xf>
    <xf numFmtId="0" fontId="13" fillId="0" borderId="0" xfId="277" applyNumberFormat="1" applyFont="1" applyFill="1" applyBorder="1" applyAlignment="1" applyProtection="1">
      <alignment horizontal="center" vertical="center"/>
    </xf>
    <xf numFmtId="0" fontId="136" fillId="0" borderId="0" xfId="194" applyFont="1" applyProtection="1"/>
    <xf numFmtId="0" fontId="13" fillId="0" borderId="0" xfId="277" applyNumberFormat="1" applyFont="1" applyFill="1" applyBorder="1" applyAlignment="1" applyProtection="1">
      <alignment horizontal="center" vertical="top"/>
    </xf>
    <xf numFmtId="0" fontId="64" fillId="0" borderId="0" xfId="194" applyFont="1" applyAlignment="1" applyProtection="1">
      <alignment vertical="top" wrapText="1"/>
    </xf>
    <xf numFmtId="0" fontId="10" fillId="0" borderId="0" xfId="277" applyNumberFormat="1" applyFont="1" applyFill="1" applyBorder="1" applyAlignment="1" applyProtection="1">
      <alignment horizontal="center" vertical="center"/>
    </xf>
    <xf numFmtId="0" fontId="23" fillId="0" borderId="0" xfId="194" applyFont="1" applyAlignment="1" applyProtection="1"/>
    <xf numFmtId="41" fontId="10" fillId="0" borderId="0" xfId="272" applyNumberFormat="1" applyFont="1" applyFill="1" applyBorder="1" applyAlignment="1" applyProtection="1">
      <alignment horizontal="center" wrapText="1"/>
    </xf>
    <xf numFmtId="0" fontId="10" fillId="0" borderId="0" xfId="272" applyFont="1" applyFill="1" applyAlignment="1" applyProtection="1">
      <alignment horizontal="center" wrapText="1"/>
    </xf>
    <xf numFmtId="0" fontId="9" fillId="26" borderId="0" xfId="272" applyFont="1" applyFill="1" applyProtection="1">
      <protection locked="0"/>
    </xf>
    <xf numFmtId="173" fontId="137" fillId="26" borderId="0" xfId="88" applyNumberFormat="1" applyFont="1" applyFill="1" applyProtection="1">
      <protection locked="0"/>
    </xf>
    <xf numFmtId="196" fontId="13" fillId="0" borderId="0" xfId="279" applyNumberFormat="1" applyFont="1" applyFill="1" applyAlignment="1" applyProtection="1">
      <alignment horizontal="center"/>
      <protection locked="0"/>
    </xf>
    <xf numFmtId="37" fontId="9" fillId="26" borderId="0" xfId="272" applyNumberFormat="1" applyFont="1" applyFill="1" applyProtection="1">
      <protection locked="0"/>
    </xf>
    <xf numFmtId="0" fontId="137" fillId="26" borderId="0" xfId="272" applyFont="1" applyFill="1" applyProtection="1">
      <protection locked="0"/>
    </xf>
    <xf numFmtId="197" fontId="13" fillId="0" borderId="0" xfId="279" applyNumberFormat="1" applyFill="1" applyAlignment="1" applyProtection="1">
      <alignment horizontal="center"/>
      <protection locked="0"/>
    </xf>
    <xf numFmtId="14" fontId="13" fillId="0" borderId="0" xfId="279" applyNumberFormat="1" applyFill="1" applyAlignment="1" applyProtection="1">
      <alignment horizontal="center"/>
      <protection locked="0"/>
    </xf>
    <xf numFmtId="0" fontId="13" fillId="0" borderId="0" xfId="194" applyFont="1" applyProtection="1"/>
    <xf numFmtId="0" fontId="13" fillId="0" borderId="11" xfId="194" applyFont="1" applyBorder="1" applyProtection="1"/>
    <xf numFmtId="0" fontId="16" fillId="0" borderId="11" xfId="272" applyFont="1" applyFill="1" applyBorder="1" applyProtection="1"/>
    <xf numFmtId="0" fontId="13" fillId="0" borderId="0" xfId="194" applyFill="1"/>
    <xf numFmtId="0" fontId="10" fillId="0" borderId="2" xfId="272" applyFont="1" applyFill="1" applyBorder="1" applyAlignment="1" applyProtection="1">
      <alignment horizontal="left"/>
    </xf>
    <xf numFmtId="173" fontId="13" fillId="0" borderId="2" xfId="290" applyNumberFormat="1" applyFont="1" applyFill="1" applyBorder="1" applyProtection="1"/>
    <xf numFmtId="173" fontId="10" fillId="0" borderId="0" xfId="88" applyNumberFormat="1" applyFont="1" applyFill="1" applyBorder="1" applyProtection="1"/>
    <xf numFmtId="0" fontId="91" fillId="0" borderId="0" xfId="272" applyFont="1" applyFill="1" applyAlignment="1" applyProtection="1">
      <alignment horizontal="left"/>
    </xf>
    <xf numFmtId="0" fontId="13" fillId="0" borderId="0" xfId="277" applyNumberFormat="1" applyFont="1" applyFill="1" applyBorder="1" applyAlignment="1" applyProtection="1">
      <alignment horizontal="center" wrapText="1"/>
    </xf>
    <xf numFmtId="173" fontId="16" fillId="0" borderId="0" xfId="174" applyNumberFormat="1" applyFont="1" applyAlignment="1"/>
    <xf numFmtId="0" fontId="13" fillId="0" borderId="0" xfId="272" applyFont="1" applyFill="1" applyBorder="1" applyProtection="1"/>
    <xf numFmtId="0" fontId="16" fillId="0" borderId="2" xfId="174" applyNumberFormat="1" applyFont="1" applyBorder="1" applyAlignment="1"/>
    <xf numFmtId="0" fontId="33" fillId="0" borderId="0" xfId="0" applyFont="1" applyFill="1" applyAlignment="1" applyProtection="1">
      <alignment horizontal="center"/>
    </xf>
    <xf numFmtId="168" fontId="6" fillId="0" borderId="0" xfId="277" applyNumberFormat="1" applyFont="1" applyFill="1" applyAlignment="1" applyProtection="1"/>
    <xf numFmtId="188" fontId="6" fillId="0" borderId="0" xfId="277" applyNumberFormat="1" applyFont="1" applyFill="1" applyAlignment="1" applyProtection="1">
      <alignment horizontal="center"/>
    </xf>
    <xf numFmtId="41" fontId="6" fillId="0" borderId="11" xfId="277" applyNumberFormat="1" applyFont="1" applyFill="1" applyBorder="1" applyAlignment="1" applyProtection="1"/>
    <xf numFmtId="0" fontId="6" fillId="0" borderId="0" xfId="174" applyFont="1" applyFill="1" applyAlignment="1" applyProtection="1">
      <alignment horizontal="center"/>
    </xf>
    <xf numFmtId="0" fontId="64" fillId="0" borderId="0" xfId="174" applyFont="1" applyFill="1" applyProtection="1"/>
    <xf numFmtId="0" fontId="6" fillId="0" borderId="0" xfId="174" applyFont="1" applyFill="1" applyProtection="1"/>
    <xf numFmtId="0" fontId="13" fillId="0" borderId="0" xfId="174" applyFont="1" applyFill="1" applyProtection="1"/>
    <xf numFmtId="173" fontId="6" fillId="32" borderId="0" xfId="86" applyNumberFormat="1" applyFont="1" applyFill="1" applyAlignment="1" applyProtection="1">
      <alignment horizontal="right"/>
    </xf>
    <xf numFmtId="179" fontId="6" fillId="0" borderId="0" xfId="277" applyNumberFormat="1" applyFont="1" applyFill="1" applyAlignment="1" applyProtection="1">
      <alignment horizontal="center"/>
    </xf>
    <xf numFmtId="0" fontId="64" fillId="0" borderId="0" xfId="270" applyFont="1" applyFill="1" applyAlignment="1">
      <alignment horizontal="center"/>
    </xf>
    <xf numFmtId="37" fontId="13" fillId="0" borderId="0" xfId="174" applyNumberFormat="1" applyFont="1"/>
    <xf numFmtId="0" fontId="10" fillId="0" borderId="0" xfId="270" applyFont="1" applyFill="1" applyBorder="1"/>
    <xf numFmtId="0" fontId="13" fillId="0" borderId="0" xfId="174"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83" applyFont="1" applyFill="1" applyProtection="1"/>
    <xf numFmtId="0" fontId="13" fillId="0" borderId="0" xfId="283" applyFont="1" applyFill="1" applyProtection="1"/>
    <xf numFmtId="0" fontId="13" fillId="0" borderId="0" xfId="0" applyFont="1" applyFill="1" applyAlignment="1" applyProtection="1">
      <alignment vertical="top"/>
    </xf>
    <xf numFmtId="41" fontId="20" fillId="0" borderId="0" xfId="270" applyNumberFormat="1" applyFont="1" applyFill="1" applyBorder="1" applyProtection="1">
      <protection locked="0"/>
    </xf>
    <xf numFmtId="0" fontId="7" fillId="0" borderId="0" xfId="270" applyFont="1" applyFill="1" applyBorder="1"/>
    <xf numFmtId="0" fontId="19" fillId="0" borderId="0" xfId="278" applyNumberFormat="1" applyFont="1" applyFill="1" applyAlignment="1">
      <alignment horizontal="center"/>
    </xf>
    <xf numFmtId="0" fontId="19" fillId="0" borderId="0" xfId="278" applyNumberFormat="1" applyFont="1" applyFill="1"/>
    <xf numFmtId="0" fontId="74" fillId="0" borderId="0" xfId="278" applyFont="1" applyFill="1" applyAlignment="1">
      <alignment wrapText="1"/>
    </xf>
    <xf numFmtId="0" fontId="7" fillId="0" borderId="0" xfId="271" applyFont="1" applyFill="1" applyAlignment="1">
      <alignment horizontal="center"/>
    </xf>
    <xf numFmtId="0" fontId="7" fillId="0" borderId="0" xfId="271" applyFont="1" applyFill="1" applyBorder="1" applyAlignment="1">
      <alignment horizontal="center"/>
    </xf>
    <xf numFmtId="0" fontId="7" fillId="0" borderId="0" xfId="271" quotePrefix="1" applyFont="1" applyFill="1" applyBorder="1" applyAlignment="1">
      <alignment horizontal="center"/>
    </xf>
    <xf numFmtId="0" fontId="7" fillId="0" borderId="0" xfId="271" applyFont="1" applyFill="1" applyAlignment="1">
      <alignment horizontal="left" vertical="center" wrapText="1"/>
    </xf>
    <xf numFmtId="0" fontId="7" fillId="0" borderId="0" xfId="271" applyFont="1" applyFill="1" applyAlignment="1">
      <alignment horizontal="center" vertical="center" wrapText="1"/>
    </xf>
    <xf numFmtId="0" fontId="7" fillId="0" borderId="0" xfId="271" applyFont="1" applyFill="1" applyBorder="1" applyAlignment="1">
      <alignment horizontal="center" vertical="center" wrapText="1"/>
    </xf>
    <xf numFmtId="0" fontId="7" fillId="0" borderId="0" xfId="271" quotePrefix="1" applyFont="1" applyFill="1" applyBorder="1" applyAlignment="1">
      <alignment horizontal="center" vertical="center" wrapText="1"/>
    </xf>
    <xf numFmtId="0" fontId="13" fillId="0" borderId="0" xfId="278" applyNumberFormat="1" applyFont="1" applyFill="1" applyAlignment="1">
      <alignment horizontal="center"/>
    </xf>
    <xf numFmtId="185" fontId="13" fillId="0" borderId="0" xfId="278" applyNumberFormat="1" applyFont="1" applyFill="1"/>
    <xf numFmtId="0" fontId="13" fillId="0" borderId="0" xfId="273" applyFont="1" applyFill="1" applyAlignment="1" applyProtection="1">
      <alignment horizontal="left"/>
    </xf>
    <xf numFmtId="0" fontId="13" fillId="0" borderId="0" xfId="194" applyFont="1" applyFill="1" applyProtection="1"/>
    <xf numFmtId="0" fontId="6" fillId="32" borderId="0" xfId="277" applyNumberFormat="1" applyFont="1" applyFill="1" applyAlignment="1" applyProtection="1">
      <alignment vertical="top" wrapText="1"/>
    </xf>
    <xf numFmtId="0" fontId="139" fillId="0" borderId="0" xfId="0" applyFont="1" applyAlignment="1">
      <alignment vertical="center"/>
    </xf>
    <xf numFmtId="0" fontId="140" fillId="0" borderId="0" xfId="220" applyFont="1" applyProtection="1"/>
    <xf numFmtId="0" fontId="141" fillId="0" borderId="0" xfId="220" applyFont="1" applyBorder="1" applyAlignment="1" applyProtection="1">
      <alignment horizontal="center"/>
    </xf>
    <xf numFmtId="3" fontId="142" fillId="0" borderId="0" xfId="220" applyNumberFormat="1" applyFont="1" applyAlignment="1" applyProtection="1">
      <alignment horizontal="center"/>
    </xf>
    <xf numFmtId="0" fontId="140" fillId="0" borderId="0" xfId="0" applyFont="1" applyAlignment="1" applyProtection="1"/>
    <xf numFmtId="0" fontId="143" fillId="0" borderId="0" xfId="220" applyFont="1" applyProtection="1"/>
    <xf numFmtId="0" fontId="142" fillId="0" borderId="0" xfId="220" applyFont="1" applyAlignment="1" applyProtection="1">
      <alignment horizontal="center"/>
    </xf>
    <xf numFmtId="0" fontId="141" fillId="0" borderId="0" xfId="219" applyFont="1" applyFill="1" applyProtection="1"/>
    <xf numFmtId="0" fontId="142" fillId="0" borderId="0" xfId="220" applyFont="1" applyFill="1" applyBorder="1" applyAlignment="1" applyProtection="1">
      <alignment horizontal="center"/>
    </xf>
    <xf numFmtId="0" fontId="141" fillId="0" borderId="0" xfId="220" applyFont="1" applyProtection="1"/>
    <xf numFmtId="0" fontId="144" fillId="0" borderId="0" xfId="220" applyFont="1" applyBorder="1" applyAlignment="1" applyProtection="1">
      <alignment horizontal="left"/>
    </xf>
    <xf numFmtId="0" fontId="141" fillId="0" borderId="0" xfId="220" applyFont="1" applyBorder="1" applyAlignment="1" applyProtection="1"/>
    <xf numFmtId="0" fontId="141" fillId="0" borderId="0" xfId="220" applyFont="1" applyBorder="1" applyProtection="1"/>
    <xf numFmtId="0" fontId="144" fillId="0" borderId="0" xfId="220" applyFont="1" applyFill="1" applyBorder="1" applyProtection="1"/>
    <xf numFmtId="3" fontId="141" fillId="0" borderId="0" xfId="220" applyNumberFormat="1" applyFont="1" applyFill="1" applyBorder="1" applyAlignment="1" applyProtection="1"/>
    <xf numFmtId="1" fontId="145" fillId="0" borderId="0" xfId="220" applyNumberFormat="1" applyFont="1" applyFill="1" applyBorder="1" applyAlignment="1" applyProtection="1">
      <alignment horizontal="center"/>
    </xf>
    <xf numFmtId="172" fontId="141" fillId="0" borderId="0" xfId="276" applyFont="1" applyBorder="1" applyAlignment="1" applyProtection="1"/>
    <xf numFmtId="170" fontId="145" fillId="30" borderId="0" xfId="276" applyNumberFormat="1" applyFont="1" applyFill="1" applyBorder="1" applyAlignment="1" applyProtection="1">
      <alignment horizontal="right"/>
      <protection locked="0"/>
    </xf>
    <xf numFmtId="6" fontId="140" fillId="0" borderId="0" xfId="220" applyNumberFormat="1" applyFont="1" applyProtection="1"/>
    <xf numFmtId="170" fontId="141" fillId="0" borderId="0" xfId="276" applyNumberFormat="1" applyFont="1" applyFill="1" applyBorder="1" applyAlignment="1" applyProtection="1">
      <alignment horizontal="right"/>
    </xf>
    <xf numFmtId="170" fontId="141" fillId="0" borderId="0" xfId="276" applyNumberFormat="1" applyFont="1" applyBorder="1" applyAlignment="1" applyProtection="1">
      <alignment horizontal="right"/>
    </xf>
    <xf numFmtId="171" fontId="141" fillId="0" borderId="0" xfId="276" applyNumberFormat="1" applyFont="1" applyFill="1" applyBorder="1" applyAlignment="1" applyProtection="1"/>
    <xf numFmtId="0" fontId="146" fillId="0" borderId="0" xfId="220" applyFont="1" applyProtection="1"/>
    <xf numFmtId="3" fontId="145" fillId="30" borderId="0" xfId="114" applyNumberFormat="1" applyFont="1" applyFill="1" applyBorder="1" applyAlignment="1" applyProtection="1">
      <alignment horizontal="right"/>
      <protection locked="0"/>
    </xf>
    <xf numFmtId="170" fontId="141" fillId="0" borderId="0" xfId="276" applyNumberFormat="1" applyFont="1" applyBorder="1" applyAlignment="1" applyProtection="1"/>
    <xf numFmtId="0" fontId="141" fillId="0" borderId="0" xfId="0" applyFont="1" applyBorder="1" applyAlignment="1" applyProtection="1"/>
    <xf numFmtId="170" fontId="145" fillId="30" borderId="0" xfId="0" applyNumberFormat="1" applyFont="1" applyFill="1" applyBorder="1" applyAlignment="1" applyProtection="1">
      <alignment horizontal="right"/>
      <protection locked="0"/>
    </xf>
    <xf numFmtId="172" fontId="141" fillId="0" borderId="0" xfId="276" applyFont="1" applyFill="1" applyBorder="1" applyAlignment="1" applyProtection="1"/>
    <xf numFmtId="0" fontId="141" fillId="0" borderId="6" xfId="220" applyFont="1" applyBorder="1" applyAlignment="1" applyProtection="1">
      <alignment horizontal="center"/>
    </xf>
    <xf numFmtId="0" fontId="141" fillId="0" borderId="6" xfId="0" applyFont="1" applyBorder="1" applyAlignment="1" applyProtection="1"/>
    <xf numFmtId="172" fontId="141" fillId="0" borderId="6" xfId="276" applyFont="1" applyBorder="1" applyAlignment="1" applyProtection="1"/>
    <xf numFmtId="170" fontId="145" fillId="30" borderId="6" xfId="0" applyNumberFormat="1" applyFont="1" applyFill="1" applyBorder="1" applyAlignment="1" applyProtection="1">
      <alignment horizontal="right"/>
      <protection locked="0"/>
    </xf>
    <xf numFmtId="170" fontId="141" fillId="0" borderId="0" xfId="0" applyNumberFormat="1" applyFont="1" applyBorder="1" applyAlignment="1" applyProtection="1"/>
    <xf numFmtId="170" fontId="141" fillId="0" borderId="0" xfId="220" applyNumberFormat="1" applyFont="1" applyBorder="1" applyProtection="1"/>
    <xf numFmtId="0" fontId="140" fillId="0" borderId="0" xfId="220" applyFont="1" applyBorder="1" applyProtection="1"/>
    <xf numFmtId="0" fontId="6" fillId="0" borderId="0" xfId="277" applyNumberFormat="1" applyFont="1" applyFill="1" applyAlignment="1" applyProtection="1">
      <alignment horizontal="left" indent="2"/>
    </xf>
    <xf numFmtId="173" fontId="9" fillId="30" borderId="0" xfId="112" applyNumberFormat="1" applyFont="1" applyFill="1" applyAlignment="1" applyProtection="1">
      <protection locked="0"/>
    </xf>
    <xf numFmtId="173" fontId="9" fillId="30" borderId="33" xfId="112" applyNumberFormat="1" applyFont="1" applyFill="1" applyBorder="1" applyAlignment="1" applyProtection="1">
      <protection locked="0"/>
    </xf>
    <xf numFmtId="0" fontId="6" fillId="30" borderId="0" xfId="0" applyNumberFormat="1" applyFont="1" applyFill="1" applyAlignment="1" applyProtection="1">
      <alignment horizontal="center"/>
      <protection locked="0"/>
    </xf>
    <xf numFmtId="0" fontId="156" fillId="30" borderId="0" xfId="0" applyFont="1" applyFill="1" applyAlignment="1" applyProtection="1">
      <alignment horizontal="left" vertical="top"/>
      <protection locked="0"/>
    </xf>
    <xf numFmtId="0" fontId="13" fillId="34" borderId="30" xfId="0" applyNumberFormat="1" applyFont="1" applyFill="1" applyBorder="1" applyAlignment="1" applyProtection="1">
      <alignment horizontal="center"/>
    </xf>
    <xf numFmtId="0" fontId="13" fillId="0" borderId="30" xfId="0" applyNumberFormat="1" applyFont="1" applyFill="1" applyBorder="1" applyAlignment="1" applyProtection="1">
      <alignment horizontal="center"/>
    </xf>
    <xf numFmtId="173" fontId="153" fillId="30" borderId="20" xfId="11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9" fillId="30" borderId="20" xfId="116" applyNumberFormat="1" applyFont="1" applyFill="1" applyBorder="1" applyAlignment="1" applyProtection="1">
      <alignment horizontal="right"/>
      <protection locked="0"/>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0" fontId="123" fillId="0" borderId="0" xfId="0" applyNumberFormat="1" applyFont="1" applyFill="1" applyAlignment="1" applyProtection="1">
      <alignment horizontal="center"/>
    </xf>
    <xf numFmtId="178" fontId="7" fillId="0" borderId="0" xfId="277" applyNumberFormat="1" applyFont="1" applyFill="1" applyAlignment="1" applyProtection="1"/>
    <xf numFmtId="0" fontId="123" fillId="0" borderId="0" xfId="0" applyFont="1" applyFill="1" applyAlignment="1" applyProtection="1">
      <alignment wrapText="1"/>
    </xf>
    <xf numFmtId="41" fontId="6" fillId="0" borderId="11" xfId="277" applyNumberFormat="1" applyFont="1" applyBorder="1" applyAlignment="1" applyProtection="1"/>
    <xf numFmtId="0" fontId="107" fillId="0" borderId="39" xfId="280" applyFont="1" applyBorder="1" applyProtection="1"/>
    <xf numFmtId="0" fontId="83" fillId="0" borderId="2" xfId="280" applyFont="1" applyBorder="1" applyAlignment="1" applyProtection="1">
      <alignment horizontal="center"/>
    </xf>
    <xf numFmtId="0" fontId="83" fillId="0" borderId="32" xfId="280" applyFont="1" applyBorder="1" applyAlignment="1" applyProtection="1">
      <alignment horizontal="center"/>
    </xf>
    <xf numFmtId="3" fontId="4" fillId="0" borderId="34" xfId="280" applyNumberFormat="1" applyBorder="1" applyProtection="1"/>
    <xf numFmtId="3" fontId="4" fillId="0" borderId="0" xfId="280" applyNumberFormat="1" applyFill="1" applyBorder="1" applyProtection="1"/>
    <xf numFmtId="0" fontId="4" fillId="0" borderId="40" xfId="280" applyFont="1" applyBorder="1" applyProtection="1"/>
    <xf numFmtId="10" fontId="4" fillId="0" borderId="11" xfId="302" applyNumberFormat="1" applyFont="1" applyBorder="1" applyAlignment="1" applyProtection="1">
      <alignment horizontal="center"/>
    </xf>
    <xf numFmtId="10" fontId="78" fillId="0" borderId="35" xfId="302" applyNumberFormat="1" applyFont="1" applyBorder="1" applyAlignment="1" applyProtection="1">
      <alignment horizontal="center"/>
    </xf>
    <xf numFmtId="173" fontId="9" fillId="26" borderId="32" xfId="111" applyNumberFormat="1" applyFont="1" applyFill="1" applyBorder="1" applyAlignment="1" applyProtection="1">
      <protection locked="0"/>
    </xf>
    <xf numFmtId="173" fontId="9" fillId="26" borderId="34" xfId="111" applyNumberFormat="1" applyFont="1" applyFill="1" applyBorder="1" applyAlignment="1" applyProtection="1">
      <protection locked="0"/>
    </xf>
    <xf numFmtId="173" fontId="9" fillId="26" borderId="35" xfId="111" applyNumberFormat="1" applyFont="1" applyFill="1" applyBorder="1" applyAlignment="1" applyProtection="1">
      <protection locked="0"/>
    </xf>
    <xf numFmtId="0" fontId="13" fillId="32" borderId="30" xfId="0" applyNumberFormat="1" applyFont="1" applyFill="1" applyBorder="1" applyAlignment="1" applyProtection="1">
      <alignment horizontal="center"/>
    </xf>
    <xf numFmtId="41" fontId="9" fillId="30" borderId="0" xfId="270" applyNumberFormat="1" applyFont="1" applyFill="1" applyProtection="1">
      <protection locked="0"/>
    </xf>
    <xf numFmtId="10" fontId="6" fillId="0" borderId="0" xfId="290" applyNumberFormat="1" applyFont="1" applyFill="1" applyAlignment="1" applyProtection="1"/>
    <xf numFmtId="0" fontId="6" fillId="0" borderId="0" xfId="0" applyFont="1" applyFill="1" applyAlignment="1" applyProtection="1">
      <alignment horizontal="center"/>
    </xf>
    <xf numFmtId="0" fontId="9" fillId="30" borderId="22" xfId="0" applyFont="1" applyFill="1" applyBorder="1" applyAlignment="1" applyProtection="1">
      <alignment horizontal="right"/>
      <protection locked="0"/>
    </xf>
    <xf numFmtId="173" fontId="13" fillId="32" borderId="0" xfId="0" applyNumberFormat="1" applyFont="1" applyFill="1" applyBorder="1" applyProtection="1"/>
    <xf numFmtId="171" fontId="141" fillId="34" borderId="0" xfId="276" applyNumberFormat="1" applyFont="1" applyFill="1" applyBorder="1" applyAlignment="1" applyProtection="1">
      <protection locked="0"/>
    </xf>
    <xf numFmtId="0" fontId="64" fillId="26" borderId="0" xfId="174" applyFont="1" applyFill="1" applyAlignment="1" applyProtection="1">
      <alignment horizontal="left"/>
      <protection locked="0"/>
    </xf>
    <xf numFmtId="0" fontId="126" fillId="26" borderId="0" xfId="174" applyFont="1" applyFill="1" applyProtection="1">
      <protection locked="0"/>
    </xf>
    <xf numFmtId="37" fontId="9" fillId="26" borderId="0" xfId="174" applyNumberFormat="1" applyFont="1" applyFill="1" applyProtection="1">
      <protection locked="0"/>
    </xf>
    <xf numFmtId="173" fontId="13" fillId="0" borderId="0" xfId="88" applyNumberFormat="1" applyProtection="1"/>
    <xf numFmtId="173" fontId="13" fillId="0" borderId="0" xfId="88" applyNumberFormat="1" applyFill="1" applyProtection="1"/>
    <xf numFmtId="3" fontId="126" fillId="26" borderId="0" xfId="174" applyNumberFormat="1" applyFont="1" applyFill="1" applyProtection="1">
      <protection locked="0"/>
    </xf>
    <xf numFmtId="0" fontId="0" fillId="32" borderId="0" xfId="0" applyFill="1" applyProtection="1"/>
    <xf numFmtId="10" fontId="6" fillId="32" borderId="0" xfId="277" applyNumberFormat="1" applyFont="1" applyFill="1" applyAlignment="1" applyProtection="1"/>
    <xf numFmtId="0" fontId="79" fillId="30" borderId="0" xfId="86" applyNumberFormat="1" applyFont="1" applyFill="1" applyBorder="1" applyProtection="1">
      <protection locked="0"/>
    </xf>
    <xf numFmtId="0" fontId="13" fillId="0" borderId="0" xfId="86" applyNumberFormat="1" applyFont="1"/>
    <xf numFmtId="0" fontId="19" fillId="0" borderId="0" xfId="278" applyFont="1" applyAlignment="1">
      <alignment horizontal="center"/>
    </xf>
    <xf numFmtId="10" fontId="79" fillId="30" borderId="0" xfId="289" applyNumberFormat="1" applyFont="1" applyFill="1" applyBorder="1" applyProtection="1">
      <protection locked="0"/>
    </xf>
    <xf numFmtId="0" fontId="25" fillId="0" borderId="0" xfId="223" applyFont="1"/>
    <xf numFmtId="0" fontId="25" fillId="0" borderId="0" xfId="223" applyFont="1" applyAlignment="1">
      <alignment horizontal="center"/>
    </xf>
    <xf numFmtId="0" fontId="13" fillId="0" borderId="0" xfId="223" applyFont="1" applyAlignment="1">
      <alignment horizontal="right"/>
    </xf>
    <xf numFmtId="14" fontId="25" fillId="0" borderId="0" xfId="223" applyNumberFormat="1" applyFont="1"/>
    <xf numFmtId="0" fontId="25" fillId="0" borderId="0" xfId="174" applyFont="1"/>
    <xf numFmtId="9" fontId="25" fillId="0" borderId="0" xfId="289" applyFont="1"/>
    <xf numFmtId="41" fontId="25" fillId="0" borderId="0" xfId="223" applyNumberFormat="1" applyFont="1"/>
    <xf numFmtId="10" fontId="25" fillId="0" borderId="0" xfId="291" applyNumberFormat="1" applyFont="1"/>
    <xf numFmtId="0" fontId="25" fillId="0" borderId="0" xfId="0" applyFont="1" applyAlignment="1"/>
    <xf numFmtId="0" fontId="26" fillId="0" borderId="0" xfId="223" applyFont="1" applyAlignment="1">
      <alignment horizontal="center"/>
    </xf>
    <xf numFmtId="0" fontId="26" fillId="0" borderId="0" xfId="223" applyFont="1" applyBorder="1" applyAlignment="1">
      <alignment horizontal="center" wrapText="1"/>
    </xf>
    <xf numFmtId="0" fontId="26" fillId="0" borderId="0" xfId="223" applyFont="1" applyFill="1" applyBorder="1" applyAlignment="1">
      <alignment horizontal="center" wrapText="1"/>
    </xf>
    <xf numFmtId="0" fontId="26" fillId="0" borderId="0" xfId="223" applyFont="1" applyAlignment="1">
      <alignment horizontal="left"/>
    </xf>
    <xf numFmtId="0" fontId="25" fillId="35" borderId="0" xfId="223" applyFont="1" applyFill="1"/>
    <xf numFmtId="49" fontId="25" fillId="0" borderId="0" xfId="223" applyNumberFormat="1" applyFont="1" applyFill="1" applyAlignment="1">
      <alignment horizontal="center"/>
    </xf>
    <xf numFmtId="0" fontId="25" fillId="0" borderId="0" xfId="223" applyFont="1" applyBorder="1"/>
    <xf numFmtId="0" fontId="25" fillId="0" borderId="0" xfId="223" applyFont="1" applyFill="1" applyBorder="1" applyAlignment="1">
      <alignment horizontal="center"/>
    </xf>
    <xf numFmtId="41" fontId="25" fillId="30" borderId="12" xfId="271" applyNumberFormat="1" applyFont="1" applyFill="1" applyBorder="1" applyProtection="1">
      <protection locked="0"/>
    </xf>
    <xf numFmtId="173" fontId="25" fillId="36" borderId="12" xfId="117" applyNumberFormat="1" applyFont="1" applyFill="1" applyBorder="1"/>
    <xf numFmtId="173" fontId="25" fillId="0" borderId="47" xfId="117" applyNumberFormat="1" applyFont="1" applyFill="1" applyBorder="1"/>
    <xf numFmtId="173" fontId="25" fillId="0" borderId="12" xfId="117" applyNumberFormat="1" applyFont="1" applyFill="1" applyBorder="1"/>
    <xf numFmtId="41" fontId="25" fillId="30" borderId="0" xfId="271" applyNumberFormat="1" applyFont="1" applyFill="1" applyBorder="1" applyProtection="1">
      <protection locked="0"/>
    </xf>
    <xf numFmtId="41" fontId="25" fillId="0" borderId="0" xfId="223" applyNumberFormat="1" applyFont="1" applyBorder="1" applyAlignment="1">
      <alignment horizontal="center"/>
    </xf>
    <xf numFmtId="0" fontId="26" fillId="0" borderId="0" xfId="223" applyFont="1" applyBorder="1"/>
    <xf numFmtId="173" fontId="25" fillId="36" borderId="47" xfId="117" applyNumberFormat="1" applyFont="1" applyFill="1" applyBorder="1"/>
    <xf numFmtId="41" fontId="25" fillId="0" borderId="12" xfId="174" applyNumberFormat="1" applyFont="1" applyFill="1" applyBorder="1"/>
    <xf numFmtId="173" fontId="25" fillId="0" borderId="0" xfId="86" applyNumberFormat="1" applyFont="1" applyBorder="1" applyAlignment="1">
      <alignment horizontal="center"/>
    </xf>
    <xf numFmtId="49" fontId="25" fillId="0" borderId="0" xfId="223" applyNumberFormat="1" applyFont="1" applyAlignment="1">
      <alignment horizontal="center"/>
    </xf>
    <xf numFmtId="41" fontId="25" fillId="30" borderId="33" xfId="271" applyNumberFormat="1" applyFont="1" applyFill="1" applyBorder="1" applyAlignment="1" applyProtection="1">
      <alignment vertical="top"/>
      <protection locked="0"/>
    </xf>
    <xf numFmtId="0" fontId="26" fillId="0" borderId="0" xfId="223" applyFont="1"/>
    <xf numFmtId="0" fontId="0" fillId="0" borderId="0" xfId="0" applyFont="1"/>
    <xf numFmtId="0" fontId="25" fillId="0" borderId="0" xfId="174" applyFont="1" applyFill="1"/>
    <xf numFmtId="0" fontId="25" fillId="0" borderId="0" xfId="174" applyFont="1" applyFill="1" applyBorder="1"/>
    <xf numFmtId="0" fontId="25" fillId="0" borderId="0" xfId="223" applyFont="1" applyFill="1" applyAlignment="1">
      <alignment horizontal="center"/>
    </xf>
    <xf numFmtId="0" fontId="25" fillId="0" borderId="0" xfId="223" applyFont="1" applyAlignment="1">
      <alignment wrapText="1"/>
    </xf>
    <xf numFmtId="173" fontId="25" fillId="36" borderId="0" xfId="117" applyNumberFormat="1" applyFont="1" applyFill="1" applyBorder="1"/>
    <xf numFmtId="41" fontId="25" fillId="30" borderId="48" xfId="271" applyNumberFormat="1" applyFont="1" applyFill="1" applyBorder="1" applyProtection="1">
      <protection locked="0"/>
    </xf>
    <xf numFmtId="173" fontId="25" fillId="0" borderId="0" xfId="117" applyNumberFormat="1" applyFont="1" applyFill="1" applyBorder="1"/>
    <xf numFmtId="173" fontId="25" fillId="0" borderId="0" xfId="117" applyNumberFormat="1" applyFont="1" applyBorder="1" applyAlignment="1">
      <alignment wrapText="1"/>
    </xf>
    <xf numFmtId="0" fontId="25" fillId="0" borderId="0" xfId="223" applyFont="1" applyAlignment="1">
      <alignment horizontal="left"/>
    </xf>
    <xf numFmtId="1" fontId="25" fillId="0" borderId="14" xfId="86" applyNumberFormat="1" applyFont="1" applyBorder="1" applyAlignment="1"/>
    <xf numFmtId="173" fontId="25" fillId="0" borderId="14" xfId="86" applyNumberFormat="1" applyFont="1" applyBorder="1" applyAlignment="1"/>
    <xf numFmtId="177" fontId="25" fillId="0" borderId="14" xfId="86" applyNumberFormat="1" applyFont="1" applyBorder="1" applyAlignment="1"/>
    <xf numFmtId="173" fontId="25" fillId="0" borderId="0" xfId="117" applyNumberFormat="1" applyFont="1" applyAlignment="1">
      <alignment wrapText="1"/>
    </xf>
    <xf numFmtId="1" fontId="25" fillId="0" borderId="0" xfId="86" applyNumberFormat="1" applyFont="1" applyBorder="1" applyAlignment="1"/>
    <xf numFmtId="177" fontId="25" fillId="0" borderId="0" xfId="86" applyNumberFormat="1" applyFont="1" applyBorder="1" applyAlignment="1"/>
    <xf numFmtId="173" fontId="25" fillId="0" borderId="1" xfId="86" applyNumberFormat="1" applyFont="1" applyBorder="1" applyAlignment="1">
      <alignment horizontal="center"/>
    </xf>
    <xf numFmtId="173" fontId="25" fillId="0" borderId="0" xfId="86" applyNumberFormat="1" applyFont="1" applyBorder="1" applyAlignment="1"/>
    <xf numFmtId="0" fontId="25" fillId="0" borderId="0" xfId="223" applyFont="1" applyAlignment="1">
      <alignment horizontal="left" vertical="center"/>
    </xf>
    <xf numFmtId="0" fontId="25" fillId="0" borderId="0" xfId="223" applyFont="1" applyAlignment="1">
      <alignment vertical="top" wrapText="1"/>
    </xf>
    <xf numFmtId="0" fontId="25" fillId="0" borderId="0" xfId="223" applyFont="1" applyAlignment="1"/>
    <xf numFmtId="173" fontId="25" fillId="0" borderId="0" xfId="223" applyNumberFormat="1" applyFont="1"/>
    <xf numFmtId="0" fontId="25" fillId="0" borderId="0" xfId="223" applyFont="1" applyFill="1" applyAlignment="1">
      <alignment vertical="top" wrapText="1"/>
    </xf>
    <xf numFmtId="0" fontId="25" fillId="0" borderId="0" xfId="223" applyFont="1" applyFill="1"/>
    <xf numFmtId="0" fontId="26" fillId="0" borderId="0" xfId="223" applyFont="1" applyAlignment="1">
      <alignment horizontal="left" vertical="center"/>
    </xf>
    <xf numFmtId="173" fontId="25" fillId="0" borderId="0" xfId="223" applyNumberFormat="1" applyFont="1" applyAlignment="1">
      <alignment horizontal="left" vertical="center"/>
    </xf>
    <xf numFmtId="173" fontId="13" fillId="0" borderId="0" xfId="0" applyNumberFormat="1" applyFont="1" applyFill="1" applyBorder="1" applyProtection="1"/>
    <xf numFmtId="0" fontId="0" fillId="0" borderId="27" xfId="0" applyFill="1" applyBorder="1" applyAlignment="1" applyProtection="1"/>
    <xf numFmtId="189" fontId="6" fillId="0" borderId="0" xfId="277" applyNumberFormat="1" applyFont="1" applyFill="1" applyAlignment="1" applyProtection="1"/>
    <xf numFmtId="173" fontId="6" fillId="0" borderId="0" xfId="277" applyNumberFormat="1" applyFont="1" applyFill="1" applyAlignment="1" applyProtection="1"/>
    <xf numFmtId="42" fontId="6" fillId="0" borderId="0" xfId="277" applyNumberFormat="1" applyFont="1" applyProtection="1"/>
    <xf numFmtId="0" fontId="13" fillId="0" borderId="0" xfId="0" applyFont="1" applyFill="1" applyProtection="1"/>
    <xf numFmtId="41" fontId="25" fillId="30" borderId="33" xfId="271" applyNumberFormat="1" applyFont="1" applyFill="1" applyBorder="1" applyAlignment="1" applyProtection="1">
      <alignment vertical="center" wrapText="1"/>
      <protection locked="0"/>
    </xf>
    <xf numFmtId="3" fontId="3" fillId="0" borderId="40" xfId="220" applyNumberFormat="1" applyFont="1" applyFill="1" applyBorder="1" applyAlignment="1">
      <alignment horizontal="center" wrapText="1"/>
    </xf>
    <xf numFmtId="3" fontId="3" fillId="0" borderId="11" xfId="220" applyNumberFormat="1" applyFont="1" applyFill="1" applyBorder="1" applyAlignment="1">
      <alignment horizontal="center" wrapText="1"/>
    </xf>
    <xf numFmtId="3" fontId="3" fillId="0" borderId="35" xfId="220" applyNumberFormat="1" applyFont="1" applyFill="1" applyBorder="1" applyAlignment="1">
      <alignment horizontal="center" wrapText="1"/>
    </xf>
    <xf numFmtId="41" fontId="9" fillId="33" borderId="0" xfId="271" applyNumberFormat="1" applyFont="1" applyFill="1" applyProtection="1">
      <protection locked="0"/>
    </xf>
    <xf numFmtId="37" fontId="0" fillId="33" borderId="0" xfId="0" applyNumberFormat="1" applyFont="1" applyFill="1" applyAlignment="1"/>
    <xf numFmtId="37" fontId="0" fillId="0" borderId="0" xfId="0" applyNumberFormat="1" applyFont="1" applyFill="1" applyAlignment="1"/>
    <xf numFmtId="49" fontId="3" fillId="0" borderId="0" xfId="360" applyNumberFormat="1" applyFont="1"/>
    <xf numFmtId="172" fontId="3" fillId="0" borderId="0" xfId="360" applyFont="1"/>
    <xf numFmtId="172" fontId="6" fillId="0" borderId="0" xfId="360" applyFont="1" applyAlignment="1">
      <alignment horizontal="right"/>
    </xf>
    <xf numFmtId="0" fontId="25" fillId="0" borderId="0" xfId="361" applyFont="1" applyAlignment="1">
      <alignment horizontal="right"/>
    </xf>
    <xf numFmtId="173" fontId="3" fillId="0" borderId="0" xfId="362" applyNumberFormat="1" applyFont="1"/>
    <xf numFmtId="0" fontId="3" fillId="0" borderId="0" xfId="361" applyFont="1"/>
    <xf numFmtId="0" fontId="3" fillId="0" borderId="0" xfId="361" applyFont="1" applyAlignment="1">
      <alignment horizontal="right"/>
    </xf>
    <xf numFmtId="41" fontId="10" fillId="0" borderId="0" xfId="363" applyNumberFormat="1" applyFont="1" applyFill="1" applyBorder="1" applyAlignment="1" applyProtection="1">
      <alignment horizontal="center"/>
      <protection locked="0"/>
    </xf>
    <xf numFmtId="41" fontId="3" fillId="0" borderId="0" xfId="363" applyNumberFormat="1" applyFont="1" applyFill="1" applyBorder="1" applyAlignment="1" applyProtection="1">
      <alignment horizontal="center"/>
      <protection locked="0"/>
    </xf>
    <xf numFmtId="2" fontId="3" fillId="0" borderId="0" xfId="360" applyNumberFormat="1" applyFont="1" applyAlignment="1">
      <alignment horizontal="center"/>
    </xf>
    <xf numFmtId="172" fontId="3" fillId="0" borderId="0" xfId="360" applyFont="1" applyAlignment="1">
      <alignment horizontal="center"/>
    </xf>
    <xf numFmtId="2" fontId="3" fillId="0" borderId="0" xfId="360" applyNumberFormat="1" applyFont="1"/>
    <xf numFmtId="172" fontId="3" fillId="0" borderId="0" xfId="360" applyFont="1" applyAlignment="1">
      <alignment wrapText="1"/>
    </xf>
    <xf numFmtId="172" fontId="3" fillId="0" borderId="0" xfId="360" applyFont="1" applyAlignment="1">
      <alignment horizontal="center" wrapText="1"/>
    </xf>
    <xf numFmtId="172" fontId="3" fillId="0" borderId="0" xfId="360" applyFont="1" applyFill="1" applyAlignment="1">
      <alignment horizontal="center" wrapText="1"/>
    </xf>
    <xf numFmtId="172" fontId="4" fillId="0" borderId="0" xfId="360" applyFill="1"/>
    <xf numFmtId="172" fontId="3" fillId="0" borderId="0" xfId="360" applyFont="1" applyFill="1"/>
    <xf numFmtId="173" fontId="3" fillId="0" borderId="0" xfId="362" applyNumberFormat="1" applyFont="1" applyFill="1"/>
    <xf numFmtId="49" fontId="3" fillId="0" borderId="0" xfId="362" applyNumberFormat="1" applyFont="1"/>
    <xf numFmtId="43" fontId="0" fillId="0" borderId="0" xfId="362" applyFont="1" applyFill="1"/>
    <xf numFmtId="9" fontId="0" fillId="0" borderId="0" xfId="364" applyNumberFormat="1" applyFont="1" applyFill="1"/>
    <xf numFmtId="10" fontId="3" fillId="0" borderId="0" xfId="364" applyNumberFormat="1" applyFont="1" applyFill="1" applyAlignment="1"/>
    <xf numFmtId="9" fontId="3" fillId="0" borderId="0" xfId="364" applyFont="1" applyFill="1"/>
    <xf numFmtId="9" fontId="0" fillId="0" borderId="0" xfId="364" applyFont="1" applyFill="1"/>
    <xf numFmtId="1" fontId="3" fillId="0" borderId="0" xfId="360" applyNumberFormat="1" applyFont="1" applyAlignment="1">
      <alignment horizontal="center"/>
    </xf>
    <xf numFmtId="9" fontId="3" fillId="0" borderId="0" xfId="364" applyFont="1" applyFill="1" applyAlignment="1">
      <alignment wrapText="1"/>
    </xf>
    <xf numFmtId="173" fontId="102" fillId="0" borderId="0" xfId="362" applyNumberFormat="1" applyFont="1"/>
    <xf numFmtId="172" fontId="4" fillId="0" borderId="0" xfId="360"/>
    <xf numFmtId="8" fontId="3" fillId="0" borderId="0" xfId="364" applyNumberFormat="1" applyFont="1" applyFill="1"/>
    <xf numFmtId="198" fontId="0" fillId="0" borderId="0" xfId="362" applyNumberFormat="1" applyFont="1" applyFill="1"/>
    <xf numFmtId="9" fontId="0" fillId="0" borderId="0" xfId="364" applyFont="1" applyFill="1" applyAlignment="1">
      <alignment horizontal="center"/>
    </xf>
    <xf numFmtId="43" fontId="3" fillId="0" borderId="0" xfId="362" applyNumberFormat="1" applyFont="1" applyFill="1"/>
    <xf numFmtId="173" fontId="3" fillId="0" borderId="13" xfId="362" applyNumberFormat="1" applyFont="1" applyBorder="1"/>
    <xf numFmtId="173" fontId="3" fillId="0" borderId="13" xfId="362" applyNumberFormat="1" applyFont="1" applyFill="1" applyBorder="1"/>
    <xf numFmtId="173" fontId="3" fillId="0" borderId="0" xfId="362" applyNumberFormat="1" applyFont="1" applyFill="1" applyBorder="1"/>
    <xf numFmtId="10" fontId="3" fillId="0" borderId="0" xfId="292" applyNumberFormat="1" applyFont="1"/>
    <xf numFmtId="9" fontId="3" fillId="0" borderId="0" xfId="364" applyFont="1"/>
    <xf numFmtId="9" fontId="3" fillId="0" borderId="0" xfId="292" applyFont="1"/>
    <xf numFmtId="172" fontId="3" fillId="0" borderId="0" xfId="360" applyFont="1" applyAlignment="1">
      <alignment horizontal="left" wrapText="1"/>
    </xf>
    <xf numFmtId="172" fontId="3" fillId="0" borderId="0" xfId="360" applyFont="1" applyAlignment="1">
      <alignment vertical="center"/>
    </xf>
    <xf numFmtId="170" fontId="3" fillId="0" borderId="0" xfId="360" applyNumberFormat="1" applyFont="1"/>
    <xf numFmtId="0" fontId="25" fillId="0" borderId="0" xfId="361" applyFont="1" applyAlignment="1">
      <alignment horizontal="left" vertical="center"/>
    </xf>
    <xf numFmtId="0" fontId="25" fillId="0" borderId="0" xfId="361" applyFont="1"/>
    <xf numFmtId="0" fontId="25" fillId="0" borderId="0" xfId="361" applyFont="1" applyAlignment="1">
      <alignment vertical="top" wrapText="1"/>
    </xf>
    <xf numFmtId="0" fontId="25" fillId="0" borderId="0" xfId="361" applyFont="1" applyAlignment="1">
      <alignment vertical="top"/>
    </xf>
    <xf numFmtId="0" fontId="25" fillId="0" borderId="0" xfId="361" applyFont="1" applyFill="1" applyAlignment="1">
      <alignment horizontal="left"/>
    </xf>
    <xf numFmtId="0" fontId="25" fillId="0" borderId="0" xfId="361" applyFont="1" applyAlignment="1">
      <alignment horizontal="left"/>
    </xf>
    <xf numFmtId="0" fontId="25" fillId="0" borderId="0" xfId="361" applyFont="1" applyAlignment="1">
      <alignment horizontal="center"/>
    </xf>
    <xf numFmtId="0" fontId="25" fillId="0" borderId="0" xfId="361" applyFont="1" applyAlignment="1"/>
    <xf numFmtId="0" fontId="25" fillId="0" borderId="0" xfId="369" applyFont="1"/>
    <xf numFmtId="0" fontId="25" fillId="0" borderId="11" xfId="369" applyFont="1" applyBorder="1"/>
    <xf numFmtId="0" fontId="26" fillId="0" borderId="11" xfId="369" applyFont="1" applyBorder="1" applyAlignment="1">
      <alignment horizontal="center" wrapText="1"/>
    </xf>
    <xf numFmtId="0" fontId="26" fillId="0" borderId="11" xfId="369" applyFont="1" applyBorder="1" applyAlignment="1">
      <alignment horizontal="center"/>
    </xf>
    <xf numFmtId="0" fontId="26" fillId="0" borderId="13" xfId="369" applyFont="1" applyBorder="1" applyAlignment="1">
      <alignment horizontal="center" wrapText="1"/>
    </xf>
    <xf numFmtId="0" fontId="26" fillId="0" borderId="11" xfId="369" applyFont="1" applyFill="1" applyBorder="1" applyAlignment="1">
      <alignment horizontal="center" wrapText="1"/>
    </xf>
    <xf numFmtId="169" fontId="6" fillId="0" borderId="17" xfId="277" applyNumberFormat="1" applyFont="1" applyBorder="1" applyProtection="1"/>
    <xf numFmtId="3" fontId="7" fillId="0" borderId="0" xfId="277" applyNumberFormat="1" applyFont="1" applyAlignment="1" applyProtection="1">
      <alignment horizontal="right" vertical="center"/>
    </xf>
    <xf numFmtId="165" fontId="6" fillId="0" borderId="0" xfId="277" applyNumberFormat="1" applyFont="1" applyProtection="1"/>
    <xf numFmtId="165" fontId="6" fillId="0" borderId="0" xfId="277" applyNumberFormat="1" applyFont="1" applyAlignment="1" applyProtection="1">
      <alignment horizontal="right"/>
    </xf>
    <xf numFmtId="173" fontId="3" fillId="0" borderId="0" xfId="0" applyNumberFormat="1" applyFont="1"/>
    <xf numFmtId="0" fontId="6" fillId="0" borderId="0" xfId="0" applyFont="1" applyFill="1" applyAlignment="1" applyProtection="1">
      <alignment horizontal="left" vertical="top" wrapText="1"/>
    </xf>
    <xf numFmtId="172" fontId="6" fillId="0" borderId="0" xfId="277" applyFont="1" applyAlignment="1" applyProtection="1">
      <alignment horizontal="left" wrapText="1"/>
    </xf>
    <xf numFmtId="0" fontId="6" fillId="0" borderId="0" xfId="277" applyNumberFormat="1" applyFont="1" applyFill="1" applyAlignment="1" applyProtection="1">
      <alignment vertical="top" wrapText="1"/>
    </xf>
    <xf numFmtId="0" fontId="13" fillId="0" borderId="0" xfId="0" applyFont="1" applyFill="1" applyProtection="1"/>
    <xf numFmtId="0" fontId="27" fillId="0" borderId="0" xfId="277" applyNumberFormat="1" applyFont="1" applyFill="1" applyAlignment="1" applyProtection="1">
      <alignment horizontal="left" wrapText="1"/>
    </xf>
    <xf numFmtId="172" fontId="6" fillId="0" borderId="0" xfId="277"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77" applyFont="1" applyFill="1" applyAlignment="1" applyProtection="1">
      <alignment vertical="top" wrapText="1"/>
    </xf>
    <xf numFmtId="0" fontId="27" fillId="0" borderId="0" xfId="0" applyFont="1" applyAlignment="1" applyProtection="1">
      <alignment vertical="top" wrapText="1"/>
    </xf>
    <xf numFmtId="172" fontId="27" fillId="0" borderId="0" xfId="277" applyFont="1" applyFill="1" applyAlignment="1" applyProtection="1">
      <alignment wrapText="1"/>
    </xf>
    <xf numFmtId="172" fontId="6" fillId="0" borderId="0" xfId="277" applyFont="1" applyFill="1" applyAlignment="1" applyProtection="1">
      <alignment vertical="top" wrapText="1"/>
    </xf>
    <xf numFmtId="172" fontId="108" fillId="0" borderId="0" xfId="277" applyFont="1" applyFill="1" applyAlignment="1" applyProtection="1">
      <alignment wrapText="1"/>
    </xf>
    <xf numFmtId="0" fontId="13" fillId="0" borderId="0" xfId="0" applyFont="1" applyAlignment="1" applyProtection="1">
      <alignment wrapText="1"/>
    </xf>
    <xf numFmtId="0" fontId="33" fillId="0" borderId="0" xfId="0" applyFont="1" applyAlignment="1" applyProtection="1">
      <alignment wrapText="1"/>
    </xf>
    <xf numFmtId="0" fontId="6" fillId="0" borderId="0" xfId="277" applyNumberFormat="1" applyFont="1" applyFill="1" applyAlignment="1" applyProtection="1">
      <alignment wrapText="1"/>
    </xf>
    <xf numFmtId="0" fontId="6" fillId="32" borderId="0" xfId="277" applyNumberFormat="1" applyFont="1" applyFill="1" applyAlignment="1" applyProtection="1">
      <alignment horizontal="left" vertical="top" wrapText="1"/>
    </xf>
    <xf numFmtId="3" fontId="109" fillId="31" borderId="0" xfId="277" applyNumberFormat="1" applyFont="1" applyFill="1" applyAlignment="1" applyProtection="1">
      <alignment horizontal="center"/>
    </xf>
    <xf numFmtId="3" fontId="11" fillId="0" borderId="0" xfId="277" applyNumberFormat="1" applyFont="1" applyFill="1" applyAlignment="1" applyProtection="1">
      <alignment horizontal="center"/>
    </xf>
    <xf numFmtId="0" fontId="6" fillId="0" borderId="0" xfId="0" applyFont="1" applyAlignment="1" applyProtection="1">
      <alignment wrapText="1"/>
    </xf>
    <xf numFmtId="172" fontId="78" fillId="0" borderId="0" xfId="277" applyFont="1" applyAlignment="1" applyProtection="1">
      <alignment horizontal="left" wrapText="1"/>
    </xf>
    <xf numFmtId="49" fontId="6" fillId="0" borderId="0" xfId="277" applyNumberFormat="1" applyFont="1" applyAlignment="1" applyProtection="1">
      <alignment horizontal="center"/>
    </xf>
    <xf numFmtId="0" fontId="33" fillId="0" borderId="0" xfId="0" applyFont="1" applyAlignment="1" applyProtection="1">
      <alignment horizontal="center"/>
    </xf>
    <xf numFmtId="0" fontId="11" fillId="0" borderId="0" xfId="27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7" applyFont="1" applyBorder="1" applyAlignment="1" applyProtection="1">
      <alignment horizontal="center"/>
    </xf>
    <xf numFmtId="0" fontId="6" fillId="0" borderId="0" xfId="0" applyFont="1" applyAlignment="1" applyProtection="1">
      <alignment horizontal="center"/>
    </xf>
    <xf numFmtId="0" fontId="6" fillId="0" borderId="0" xfId="220" applyFont="1" applyBorder="1" applyAlignment="1">
      <alignment horizontal="center"/>
    </xf>
    <xf numFmtId="0" fontId="10" fillId="0" borderId="47" xfId="281" applyFont="1" applyBorder="1" applyAlignment="1">
      <alignment horizontal="center" wrapText="1"/>
    </xf>
    <xf numFmtId="0" fontId="10" fillId="0" borderId="13" xfId="281" applyFont="1" applyBorder="1" applyAlignment="1">
      <alignment horizontal="center" wrapText="1"/>
    </xf>
    <xf numFmtId="0" fontId="10" fillId="0" borderId="48" xfId="281" applyFont="1" applyBorder="1" applyAlignment="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3" fontId="6" fillId="0" borderId="0" xfId="220" applyNumberFormat="1" applyFont="1" applyBorder="1" applyAlignment="1">
      <alignment horizontal="center"/>
    </xf>
    <xf numFmtId="38" fontId="64" fillId="0" borderId="0" xfId="0" applyNumberFormat="1" applyFont="1" applyFill="1" applyBorder="1" applyAlignment="1">
      <alignment horizontal="left" wrapText="1"/>
    </xf>
    <xf numFmtId="0" fontId="6" fillId="0" borderId="0" xfId="0" applyFont="1" applyAlignment="1">
      <alignment horizontal="center"/>
    </xf>
    <xf numFmtId="0" fontId="41" fillId="0" borderId="0" xfId="270"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20" quotePrefix="1" applyFont="1" applyBorder="1" applyAlignment="1">
      <alignment horizontal="center" wrapText="1"/>
    </xf>
    <xf numFmtId="0" fontId="25" fillId="0" borderId="0" xfId="361" applyFont="1" applyAlignment="1">
      <alignment horizontal="left" vertical="top" wrapText="1"/>
    </xf>
    <xf numFmtId="0" fontId="25" fillId="0" borderId="11" xfId="223" applyFont="1" applyBorder="1" applyAlignment="1">
      <alignment horizontal="center"/>
    </xf>
    <xf numFmtId="0" fontId="25" fillId="0" borderId="11" xfId="0" applyFont="1" applyBorder="1" applyAlignment="1">
      <alignment horizontal="center"/>
    </xf>
    <xf numFmtId="0" fontId="25" fillId="0" borderId="11" xfId="223" applyFont="1" applyBorder="1" applyAlignment="1">
      <alignment horizontal="center" wrapText="1"/>
    </xf>
    <xf numFmtId="0" fontId="26" fillId="0" borderId="0" xfId="223" applyFont="1" applyBorder="1" applyAlignment="1">
      <alignment horizontal="center" wrapText="1"/>
    </xf>
    <xf numFmtId="41" fontId="25" fillId="30" borderId="33" xfId="271" applyNumberFormat="1" applyFont="1" applyFill="1" applyBorder="1" applyAlignment="1" applyProtection="1">
      <alignment horizontal="left" vertical="center" wrapText="1"/>
      <protection locked="0"/>
    </xf>
    <xf numFmtId="0" fontId="25" fillId="0" borderId="0" xfId="223" applyFont="1" applyAlignment="1">
      <alignment horizontal="center" wrapText="1"/>
    </xf>
    <xf numFmtId="0" fontId="25" fillId="0" borderId="0" xfId="361" applyFont="1" applyFill="1" applyAlignment="1">
      <alignment horizontal="left" vertical="top" wrapText="1"/>
    </xf>
    <xf numFmtId="2" fontId="3" fillId="0" borderId="0" xfId="360" applyNumberFormat="1" applyFont="1" applyAlignment="1">
      <alignment vertical="top"/>
    </xf>
    <xf numFmtId="41" fontId="10" fillId="0" borderId="0" xfId="363" applyNumberFormat="1" applyFont="1" applyFill="1" applyBorder="1" applyAlignment="1" applyProtection="1">
      <alignment horizontal="center"/>
      <protection locked="0"/>
    </xf>
    <xf numFmtId="172" fontId="3" fillId="0" borderId="0" xfId="360" applyFont="1" applyAlignment="1">
      <alignment horizontal="center" wrapText="1"/>
    </xf>
    <xf numFmtId="172" fontId="3" fillId="0" borderId="0" xfId="360" applyFont="1" applyAlignment="1">
      <alignment vertical="center" wrapText="1"/>
    </xf>
    <xf numFmtId="172" fontId="3" fillId="0" borderId="0" xfId="360" applyFont="1" applyAlignment="1">
      <alignment horizontal="left" vertical="center" wrapText="1"/>
    </xf>
    <xf numFmtId="172" fontId="3" fillId="0" borderId="0" xfId="360" applyFont="1" applyAlignment="1">
      <alignment horizontal="left" vertical="top" wrapText="1"/>
    </xf>
    <xf numFmtId="172" fontId="3" fillId="0" borderId="0" xfId="360" applyFont="1" applyAlignment="1">
      <alignment horizontal="left" wrapText="1"/>
    </xf>
    <xf numFmtId="0" fontId="13" fillId="0" borderId="0" xfId="220" applyNumberFormat="1" applyFont="1" applyFill="1" applyBorder="1" applyAlignment="1">
      <alignment horizontal="left" wrapText="1"/>
    </xf>
    <xf numFmtId="0" fontId="82" fillId="0" borderId="0" xfId="220" applyNumberFormat="1" applyFont="1" applyFill="1" applyBorder="1" applyAlignment="1" applyProtection="1">
      <alignment horizontal="center"/>
    </xf>
    <xf numFmtId="0" fontId="6" fillId="0" borderId="0" xfId="220" applyFont="1" applyBorder="1" applyAlignment="1" applyProtection="1">
      <alignment horizontal="center"/>
    </xf>
    <xf numFmtId="3" fontId="6" fillId="0" borderId="0" xfId="0" applyNumberFormat="1" applyFont="1" applyAlignment="1" applyProtection="1">
      <alignment horizontal="center"/>
    </xf>
    <xf numFmtId="0" fontId="82" fillId="0" borderId="0" xfId="270" applyFont="1" applyFill="1" applyAlignment="1" applyProtection="1">
      <alignment horizontal="center"/>
    </xf>
    <xf numFmtId="0" fontId="18" fillId="0" borderId="0" xfId="270"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20"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172" fontId="110" fillId="0" borderId="0" xfId="277" applyFont="1" applyFill="1" applyAlignment="1" applyProtection="1">
      <alignment wrapText="1"/>
    </xf>
    <xf numFmtId="0" fontId="121" fillId="0" borderId="0" xfId="0" applyFont="1" applyAlignment="1" applyProtection="1">
      <alignment wrapText="1"/>
    </xf>
    <xf numFmtId="172" fontId="13" fillId="0" borderId="0" xfId="277" applyFont="1" applyFill="1" applyAlignment="1" applyProtection="1">
      <alignment horizontal="left" vertical="top" wrapText="1"/>
    </xf>
    <xf numFmtId="0" fontId="95" fillId="0" borderId="0" xfId="282" applyFont="1" applyFill="1" applyAlignment="1" applyProtection="1">
      <alignment wrapText="1"/>
    </xf>
    <xf numFmtId="3" fontId="5" fillId="0" borderId="0" xfId="0" applyNumberFormat="1" applyFont="1" applyAlignment="1" applyProtection="1">
      <alignment horizontal="center"/>
    </xf>
    <xf numFmtId="0" fontId="11" fillId="0" borderId="0" xfId="282" applyFont="1" applyFill="1" applyAlignment="1" applyProtection="1">
      <alignment horizontal="center"/>
    </xf>
    <xf numFmtId="3" fontId="5" fillId="0" borderId="0" xfId="0" applyNumberFormat="1" applyFont="1" applyAlignment="1">
      <alignment horizontal="center"/>
    </xf>
    <xf numFmtId="0" fontId="75" fillId="0" borderId="11" xfId="278" applyFont="1" applyBorder="1" applyAlignment="1" applyProtection="1">
      <alignment horizontal="center"/>
    </xf>
    <xf numFmtId="3" fontId="6" fillId="0" borderId="0" xfId="220" applyNumberFormat="1" applyFont="1" applyBorder="1" applyAlignment="1" applyProtection="1">
      <alignment horizontal="center"/>
    </xf>
    <xf numFmtId="0" fontId="72" fillId="0" borderId="0" xfId="278" applyFont="1" applyFill="1" applyAlignment="1">
      <alignment horizontal="left" wrapText="1"/>
    </xf>
    <xf numFmtId="0" fontId="0" fillId="0" borderId="0" xfId="0" applyAlignment="1"/>
    <xf numFmtId="0" fontId="72" fillId="0" borderId="0" xfId="278"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20" applyFont="1" applyBorder="1" applyAlignment="1">
      <alignment horizontal="center"/>
    </xf>
    <xf numFmtId="0" fontId="5" fillId="0" borderId="0" xfId="0" applyFont="1" applyAlignment="1">
      <alignment horizontal="center"/>
    </xf>
    <xf numFmtId="0" fontId="0" fillId="0" borderId="0" xfId="0" applyNumberFormat="1" applyAlignment="1" applyProtection="1">
      <alignment horizontal="left" wrapText="1"/>
    </xf>
    <xf numFmtId="0" fontId="156" fillId="30" borderId="0" xfId="0" applyFont="1" applyFill="1" applyAlignment="1" applyProtection="1">
      <alignment horizontal="left" vertical="top" wrapText="1"/>
      <protection locked="0"/>
    </xf>
    <xf numFmtId="173" fontId="96" fillId="0" borderId="0" xfId="86" applyNumberFormat="1" applyFont="1" applyBorder="1" applyAlignment="1" applyProtection="1">
      <alignment horizontal="center"/>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77"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3" fillId="32" borderId="0" xfId="0" applyFont="1" applyFill="1" applyBorder="1" applyAlignment="1" applyProtection="1">
      <alignment wrapText="1"/>
    </xf>
    <xf numFmtId="0" fontId="13" fillId="0" borderId="0" xfId="0" applyFont="1" applyFill="1" applyBorder="1" applyAlignment="1" applyProtection="1">
      <alignment wrapText="1"/>
    </xf>
    <xf numFmtId="0" fontId="70" fillId="30" borderId="0" xfId="0" applyFont="1" applyFill="1" applyAlignment="1" applyProtection="1">
      <alignment horizontal="left" wrapText="1"/>
      <protection locked="0"/>
    </xf>
    <xf numFmtId="0" fontId="0" fillId="30" borderId="0" xfId="0" applyFill="1" applyAlignment="1" applyProtection="1">
      <alignment wrapText="1"/>
      <protection locked="0"/>
    </xf>
    <xf numFmtId="0" fontId="70" fillId="30" borderId="0" xfId="0" applyFont="1" applyFill="1" applyAlignment="1" applyProtection="1">
      <alignment horizontal="left"/>
      <protection locked="0"/>
    </xf>
    <xf numFmtId="0" fontId="6" fillId="0" borderId="0" xfId="174" applyFont="1" applyAlignment="1" applyProtection="1">
      <alignment horizontal="center"/>
    </xf>
    <xf numFmtId="0" fontId="10" fillId="0" borderId="47" xfId="174" applyFont="1" applyBorder="1" applyAlignment="1">
      <alignment horizontal="center"/>
    </xf>
    <xf numFmtId="0" fontId="10" fillId="0" borderId="13" xfId="174" applyFont="1" applyBorder="1" applyAlignment="1">
      <alignment horizontal="center"/>
    </xf>
    <xf numFmtId="0" fontId="10" fillId="0" borderId="48" xfId="174" applyFont="1" applyBorder="1" applyAlignment="1">
      <alignment horizontal="center"/>
    </xf>
    <xf numFmtId="0" fontId="13" fillId="0" borderId="0" xfId="272" applyFont="1" applyFill="1" applyAlignment="1" applyProtection="1">
      <alignment horizontal="left" wrapText="1"/>
    </xf>
    <xf numFmtId="0" fontId="13" fillId="0" borderId="0" xfId="194" applyFont="1" applyFill="1" applyAlignment="1" applyProtection="1">
      <alignment wrapText="1"/>
    </xf>
    <xf numFmtId="0" fontId="113" fillId="0" borderId="0" xfId="272" applyFont="1" applyFill="1" applyAlignment="1" applyProtection="1">
      <alignment horizontal="left" wrapText="1"/>
    </xf>
    <xf numFmtId="0" fontId="64" fillId="0" borderId="0" xfId="174" applyFont="1" applyAlignment="1" applyProtection="1">
      <alignment horizontal="left" vertical="top" wrapText="1"/>
    </xf>
    <xf numFmtId="41" fontId="10" fillId="0" borderId="0" xfId="272" applyNumberFormat="1" applyFont="1" applyFill="1" applyBorder="1" applyAlignment="1" applyProtection="1">
      <alignment horizontal="center" wrapText="1"/>
    </xf>
    <xf numFmtId="0" fontId="10" fillId="0" borderId="0" xfId="0" applyFont="1" applyAlignment="1">
      <alignment horizontal="center" wrapText="1"/>
    </xf>
    <xf numFmtId="0" fontId="0" fillId="0" borderId="0" xfId="0" applyAlignment="1">
      <alignment wrapText="1"/>
    </xf>
    <xf numFmtId="0" fontId="10" fillId="0" borderId="0" xfId="0" applyFont="1" applyAlignment="1">
      <alignment horizontal="left" wrapText="1"/>
    </xf>
    <xf numFmtId="0" fontId="95" fillId="0" borderId="0" xfId="0" applyFont="1" applyAlignment="1">
      <alignment horizontal="center" wrapText="1"/>
    </xf>
    <xf numFmtId="0" fontId="21" fillId="30" borderId="0" xfId="0" applyFont="1" applyFill="1" applyAlignment="1" applyProtection="1">
      <alignment wrapText="1"/>
      <protection locked="0"/>
    </xf>
    <xf numFmtId="0" fontId="141" fillId="0" borderId="0" xfId="0" applyFont="1" applyAlignment="1" applyProtection="1">
      <alignment horizontal="left" vertical="center" wrapText="1"/>
    </xf>
    <xf numFmtId="0" fontId="141" fillId="0" borderId="0" xfId="220" applyFont="1" applyBorder="1" applyAlignment="1" applyProtection="1">
      <alignment horizontal="center"/>
    </xf>
    <xf numFmtId="3" fontId="141" fillId="0" borderId="0" xfId="220" applyNumberFormat="1" applyFont="1" applyAlignment="1" applyProtection="1">
      <alignment horizontal="center"/>
    </xf>
    <xf numFmtId="0" fontId="7" fillId="0" borderId="0" xfId="280" applyFont="1" applyAlignment="1" applyProtection="1">
      <alignment horizontal="left" wrapText="1"/>
    </xf>
    <xf numFmtId="0" fontId="6" fillId="0" borderId="0" xfId="280" applyFont="1" applyAlignment="1" applyProtection="1">
      <alignment horizontal="left" wrapText="1"/>
    </xf>
    <xf numFmtId="0" fontId="103" fillId="0" borderId="0" xfId="280" applyFont="1" applyAlignment="1" applyProtection="1">
      <alignment horizontal="center"/>
    </xf>
    <xf numFmtId="0" fontId="103" fillId="0" borderId="0" xfId="280" applyFont="1" applyFill="1" applyAlignment="1" applyProtection="1">
      <alignment horizontal="center"/>
    </xf>
    <xf numFmtId="3" fontId="103" fillId="0" borderId="0" xfId="280" applyNumberFormat="1" applyFont="1" applyAlignment="1" applyProtection="1">
      <alignment horizontal="center"/>
    </xf>
    <xf numFmtId="0" fontId="78" fillId="0" borderId="11" xfId="280" applyFont="1" applyFill="1" applyBorder="1" applyAlignment="1" applyProtection="1">
      <alignment wrapText="1"/>
    </xf>
    <xf numFmtId="0" fontId="0" fillId="0" borderId="11" xfId="0" applyFill="1" applyBorder="1" applyAlignment="1" applyProtection="1">
      <alignment wrapText="1"/>
    </xf>
    <xf numFmtId="0" fontId="13" fillId="0" borderId="0" xfId="270" applyFont="1" applyFill="1" applyAlignment="1" applyProtection="1">
      <alignment horizontal="left" vertical="top" wrapText="1"/>
    </xf>
    <xf numFmtId="0" fontId="10" fillId="0" borderId="0" xfId="284" applyFont="1" applyAlignment="1" applyProtection="1">
      <alignment horizontal="center"/>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center" wrapText="1"/>
    </xf>
  </cellXfs>
  <cellStyles count="37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1" xfId="366" xr:uid="{00000000-0005-0000-0000-000056000000}"/>
    <cellStyle name="Comma 12 2" xfId="87" xr:uid="{00000000-0005-0000-0000-000057000000}"/>
    <cellStyle name="Comma 2" xfId="88" xr:uid="{00000000-0005-0000-0000-000058000000}"/>
    <cellStyle name="Comma 2 2" xfId="89" xr:uid="{00000000-0005-0000-0000-000059000000}"/>
    <cellStyle name="Comma 3" xfId="90" xr:uid="{00000000-0005-0000-0000-00005A000000}"/>
    <cellStyle name="Comma 3 2" xfId="91" xr:uid="{00000000-0005-0000-0000-00005B000000}"/>
    <cellStyle name="Comma 3 3" xfId="92" xr:uid="{00000000-0005-0000-0000-00005C000000}"/>
    <cellStyle name="Comma 3 3 2" xfId="93" xr:uid="{00000000-0005-0000-0000-00005D000000}"/>
    <cellStyle name="Comma 3 3 3" xfId="94" xr:uid="{00000000-0005-0000-0000-00005E000000}"/>
    <cellStyle name="Comma 3 4" xfId="95" xr:uid="{00000000-0005-0000-0000-00005F000000}"/>
    <cellStyle name="Comma 3 4 2" xfId="96" xr:uid="{00000000-0005-0000-0000-000060000000}"/>
    <cellStyle name="Comma 3 4 3" xfId="97" xr:uid="{00000000-0005-0000-0000-000061000000}"/>
    <cellStyle name="Comma 3 5" xfId="98" xr:uid="{00000000-0005-0000-0000-000062000000}"/>
    <cellStyle name="Comma 3 5 2" xfId="99" xr:uid="{00000000-0005-0000-0000-000063000000}"/>
    <cellStyle name="Comma 3 5 3" xfId="100" xr:uid="{00000000-0005-0000-0000-000064000000}"/>
    <cellStyle name="Comma 3 6" xfId="101" xr:uid="{00000000-0005-0000-0000-000065000000}"/>
    <cellStyle name="Comma 3 6 2" xfId="102" xr:uid="{00000000-0005-0000-0000-000066000000}"/>
    <cellStyle name="Comma 3 7" xfId="103" xr:uid="{00000000-0005-0000-0000-000067000000}"/>
    <cellStyle name="Comma 3 8" xfId="104" xr:uid="{00000000-0005-0000-0000-000068000000}"/>
    <cellStyle name="Comma 4" xfId="362" xr:uid="{00000000-0005-0000-0000-000069000000}"/>
    <cellStyle name="Comma 4 2" xfId="105" xr:uid="{00000000-0005-0000-0000-00006A000000}"/>
    <cellStyle name="Comma 4 2 2" xfId="106" xr:uid="{00000000-0005-0000-0000-00006B000000}"/>
    <cellStyle name="Comma 4 2 3" xfId="107" xr:uid="{00000000-0005-0000-0000-00006C000000}"/>
    <cellStyle name="Comma 4 3" xfId="108" xr:uid="{00000000-0005-0000-0000-00006D000000}"/>
    <cellStyle name="Comma 5 2" xfId="109" xr:uid="{00000000-0005-0000-0000-00006E000000}"/>
    <cellStyle name="Comma 6" xfId="110" xr:uid="{00000000-0005-0000-0000-00006F000000}"/>
    <cellStyle name="Comma 6 2" xfId="111" xr:uid="{00000000-0005-0000-0000-000070000000}"/>
    <cellStyle name="Comma 6 2 2" xfId="112" xr:uid="{00000000-0005-0000-0000-000071000000}"/>
    <cellStyle name="Comma 6 3" xfId="113" xr:uid="{00000000-0005-0000-0000-000072000000}"/>
    <cellStyle name="Comma 7" xfId="114" xr:uid="{00000000-0005-0000-0000-000073000000}"/>
    <cellStyle name="Comma 7 2" xfId="115" xr:uid="{00000000-0005-0000-0000-000074000000}"/>
    <cellStyle name="Comma 8" xfId="116" xr:uid="{00000000-0005-0000-0000-000075000000}"/>
    <cellStyle name="Comma 9" xfId="117" xr:uid="{00000000-0005-0000-0000-000076000000}"/>
    <cellStyle name="Comma_spp calc - revsd rev crd" xfId="118" xr:uid="{00000000-0005-0000-0000-000077000000}"/>
    <cellStyle name="Comma_spp calc - revsd rev crd 2" xfId="119" xr:uid="{00000000-0005-0000-0000-000078000000}"/>
    <cellStyle name="Comma0" xfId="120" xr:uid="{00000000-0005-0000-0000-000079000000}"/>
    <cellStyle name="Currency" xfId="121" builtinId="4"/>
    <cellStyle name="Currency 2" xfId="122" xr:uid="{00000000-0005-0000-0000-00007B000000}"/>
    <cellStyle name="Currency 2 2" xfId="123" xr:uid="{00000000-0005-0000-0000-00007C000000}"/>
    <cellStyle name="Currency 3" xfId="124" xr:uid="{00000000-0005-0000-0000-00007D000000}"/>
    <cellStyle name="Currency 3 2" xfId="125" xr:uid="{00000000-0005-0000-0000-00007E000000}"/>
    <cellStyle name="Currency 3 3" xfId="126" xr:uid="{00000000-0005-0000-0000-00007F000000}"/>
    <cellStyle name="Currency 3 3 2" xfId="127" xr:uid="{00000000-0005-0000-0000-000080000000}"/>
    <cellStyle name="Currency 3 3 3" xfId="128" xr:uid="{00000000-0005-0000-0000-000081000000}"/>
    <cellStyle name="Currency 3 4" xfId="129" xr:uid="{00000000-0005-0000-0000-000082000000}"/>
    <cellStyle name="Currency 3 4 2" xfId="130" xr:uid="{00000000-0005-0000-0000-000083000000}"/>
    <cellStyle name="Currency 3 4 3" xfId="131" xr:uid="{00000000-0005-0000-0000-000084000000}"/>
    <cellStyle name="Currency 3 5" xfId="132" xr:uid="{00000000-0005-0000-0000-000085000000}"/>
    <cellStyle name="Currency 3 5 2" xfId="133" xr:uid="{00000000-0005-0000-0000-000086000000}"/>
    <cellStyle name="Currency 3 5 3" xfId="134" xr:uid="{00000000-0005-0000-0000-000087000000}"/>
    <cellStyle name="Currency 3 6" xfId="135" xr:uid="{00000000-0005-0000-0000-000088000000}"/>
    <cellStyle name="Currency 3 6 2" xfId="136" xr:uid="{00000000-0005-0000-0000-000089000000}"/>
    <cellStyle name="Currency 3 7" xfId="137" xr:uid="{00000000-0005-0000-0000-00008A000000}"/>
    <cellStyle name="Currency 4 2" xfId="138" xr:uid="{00000000-0005-0000-0000-00008B000000}"/>
    <cellStyle name="Currency 4 2 2" xfId="139" xr:uid="{00000000-0005-0000-0000-00008C000000}"/>
    <cellStyle name="Currency 4 2 3" xfId="140" xr:uid="{00000000-0005-0000-0000-00008D000000}"/>
    <cellStyle name="Currency 4 3" xfId="141" xr:uid="{00000000-0005-0000-0000-00008E000000}"/>
    <cellStyle name="Currency 5 2" xfId="142" xr:uid="{00000000-0005-0000-0000-00008F000000}"/>
    <cellStyle name="Currency 6" xfId="143" xr:uid="{00000000-0005-0000-0000-000090000000}"/>
    <cellStyle name="Currency 7" xfId="144" xr:uid="{00000000-0005-0000-0000-000091000000}"/>
    <cellStyle name="Currency0" xfId="145" xr:uid="{00000000-0005-0000-0000-000092000000}"/>
    <cellStyle name="Date" xfId="146" xr:uid="{00000000-0005-0000-0000-000093000000}"/>
    <cellStyle name="Explanatory Text" xfId="147" builtinId="53" customBuiltin="1"/>
    <cellStyle name="Explanatory Text 2" xfId="148" xr:uid="{00000000-0005-0000-0000-000095000000}"/>
    <cellStyle name="Fixed" xfId="149" xr:uid="{00000000-0005-0000-0000-000096000000}"/>
    <cellStyle name="Good" xfId="150" builtinId="26" customBuiltin="1"/>
    <cellStyle name="Good 2" xfId="151" xr:uid="{00000000-0005-0000-0000-000098000000}"/>
    <cellStyle name="Heading 1" xfId="152" builtinId="16" customBuiltin="1"/>
    <cellStyle name="Heading 1 2" xfId="153" xr:uid="{00000000-0005-0000-0000-00009A000000}"/>
    <cellStyle name="Heading 2" xfId="154" builtinId="17" customBuiltin="1"/>
    <cellStyle name="Heading 2 2" xfId="155" xr:uid="{00000000-0005-0000-0000-00009C000000}"/>
    <cellStyle name="Heading 3" xfId="156" builtinId="18" customBuiltin="1"/>
    <cellStyle name="Heading 3 2" xfId="157" xr:uid="{00000000-0005-0000-0000-00009E000000}"/>
    <cellStyle name="Heading 4" xfId="158" builtinId="19" customBuiltin="1"/>
    <cellStyle name="Heading 4 2" xfId="159" xr:uid="{00000000-0005-0000-0000-0000A0000000}"/>
    <cellStyle name="Heading1" xfId="160" xr:uid="{00000000-0005-0000-0000-0000A1000000}"/>
    <cellStyle name="Heading2" xfId="161" xr:uid="{00000000-0005-0000-0000-0000A2000000}"/>
    <cellStyle name="Input" xfId="162" builtinId="20" customBuiltin="1"/>
    <cellStyle name="Input 2" xfId="163" xr:uid="{00000000-0005-0000-0000-0000A4000000}"/>
    <cellStyle name="Linked Cell" xfId="164" builtinId="24" customBuiltin="1"/>
    <cellStyle name="Linked Cell 2" xfId="165" xr:uid="{00000000-0005-0000-0000-0000A6000000}"/>
    <cellStyle name="Neutral" xfId="166" builtinId="28" customBuiltin="1"/>
    <cellStyle name="Neutral 2" xfId="167" xr:uid="{00000000-0005-0000-0000-0000A8000000}"/>
    <cellStyle name="Normal" xfId="0" builtinId="0"/>
    <cellStyle name="Normal 10" xfId="168" xr:uid="{00000000-0005-0000-0000-0000AA000000}"/>
    <cellStyle name="Normal 10 2" xfId="169" xr:uid="{00000000-0005-0000-0000-0000AB000000}"/>
    <cellStyle name="Normal 10 3" xfId="170" xr:uid="{00000000-0005-0000-0000-0000AC000000}"/>
    <cellStyle name="Normal 10 4" xfId="171" xr:uid="{00000000-0005-0000-0000-0000AD000000}"/>
    <cellStyle name="Normal 10 5" xfId="172" xr:uid="{00000000-0005-0000-0000-0000AE000000}"/>
    <cellStyle name="Normal 11" xfId="173" xr:uid="{00000000-0005-0000-0000-0000AF000000}"/>
    <cellStyle name="Normal 11 2" xfId="174" xr:uid="{00000000-0005-0000-0000-0000B0000000}"/>
    <cellStyle name="Normal 11 3" xfId="175" xr:uid="{00000000-0005-0000-0000-0000B1000000}"/>
    <cellStyle name="Normal 11 4" xfId="176" xr:uid="{00000000-0005-0000-0000-0000B2000000}"/>
    <cellStyle name="Normal 11 5" xfId="177" xr:uid="{00000000-0005-0000-0000-0000B3000000}"/>
    <cellStyle name="Normal 12" xfId="178" xr:uid="{00000000-0005-0000-0000-0000B4000000}"/>
    <cellStyle name="Normal 12 2" xfId="179" xr:uid="{00000000-0005-0000-0000-0000B5000000}"/>
    <cellStyle name="Normal 12 4" xfId="180" xr:uid="{00000000-0005-0000-0000-0000B6000000}"/>
    <cellStyle name="Normal 13" xfId="181" xr:uid="{00000000-0005-0000-0000-0000B7000000}"/>
    <cellStyle name="Normal 13 2" xfId="182" xr:uid="{00000000-0005-0000-0000-0000B8000000}"/>
    <cellStyle name="Normal 14" xfId="183" xr:uid="{00000000-0005-0000-0000-0000B9000000}"/>
    <cellStyle name="Normal 14 2" xfId="184" xr:uid="{00000000-0005-0000-0000-0000BA000000}"/>
    <cellStyle name="Normal 15" xfId="185" xr:uid="{00000000-0005-0000-0000-0000BB000000}"/>
    <cellStyle name="Normal 16" xfId="186" xr:uid="{00000000-0005-0000-0000-0000BC000000}"/>
    <cellStyle name="Normal 16 2" xfId="187" xr:uid="{00000000-0005-0000-0000-0000BD000000}"/>
    <cellStyle name="Normal 17" xfId="188" xr:uid="{00000000-0005-0000-0000-0000BE000000}"/>
    <cellStyle name="Normal 17 2" xfId="189" xr:uid="{00000000-0005-0000-0000-0000BF000000}"/>
    <cellStyle name="Normal 18" xfId="190" xr:uid="{00000000-0005-0000-0000-0000C0000000}"/>
    <cellStyle name="Normal 18 2" xfId="191" xr:uid="{00000000-0005-0000-0000-0000C1000000}"/>
    <cellStyle name="Normal 19" xfId="192" xr:uid="{00000000-0005-0000-0000-0000C2000000}"/>
    <cellStyle name="Normal 19 2" xfId="193" xr:uid="{00000000-0005-0000-0000-0000C3000000}"/>
    <cellStyle name="Normal 2" xfId="194" xr:uid="{00000000-0005-0000-0000-0000C4000000}"/>
    <cellStyle name="Normal 2 2" xfId="195" xr:uid="{00000000-0005-0000-0000-0000C5000000}"/>
    <cellStyle name="Normal 2 2 2" xfId="196" xr:uid="{00000000-0005-0000-0000-0000C6000000}"/>
    <cellStyle name="Normal 2 2 3" xfId="197" xr:uid="{00000000-0005-0000-0000-0000C7000000}"/>
    <cellStyle name="Normal 2 2 4" xfId="198" xr:uid="{00000000-0005-0000-0000-0000C8000000}"/>
    <cellStyle name="Normal 2 3" xfId="199" xr:uid="{00000000-0005-0000-0000-0000C9000000}"/>
    <cellStyle name="Normal 2 5" xfId="200" xr:uid="{00000000-0005-0000-0000-0000CA000000}"/>
    <cellStyle name="Normal 2 5 2" xfId="201" xr:uid="{00000000-0005-0000-0000-0000CB000000}"/>
    <cellStyle name="Normal 20" xfId="202" xr:uid="{00000000-0005-0000-0000-0000CC000000}"/>
    <cellStyle name="Normal 20 2" xfId="203" xr:uid="{00000000-0005-0000-0000-0000CD000000}"/>
    <cellStyle name="Normal 21" xfId="204" xr:uid="{00000000-0005-0000-0000-0000CE000000}"/>
    <cellStyle name="Normal 21 2" xfId="205" xr:uid="{00000000-0005-0000-0000-0000CF000000}"/>
    <cellStyle name="Normal 22" xfId="206" xr:uid="{00000000-0005-0000-0000-0000D0000000}"/>
    <cellStyle name="Normal 22 2" xfId="207" xr:uid="{00000000-0005-0000-0000-0000D1000000}"/>
    <cellStyle name="Normal 23" xfId="208" xr:uid="{00000000-0005-0000-0000-0000D2000000}"/>
    <cellStyle name="Normal 23 2" xfId="209" xr:uid="{00000000-0005-0000-0000-0000D3000000}"/>
    <cellStyle name="Normal 24" xfId="210" xr:uid="{00000000-0005-0000-0000-0000D4000000}"/>
    <cellStyle name="Normal 24 2" xfId="211" xr:uid="{00000000-0005-0000-0000-0000D5000000}"/>
    <cellStyle name="Normal 25" xfId="212" xr:uid="{00000000-0005-0000-0000-0000D6000000}"/>
    <cellStyle name="Normal 25 2" xfId="213" xr:uid="{00000000-0005-0000-0000-0000D7000000}"/>
    <cellStyle name="Normal 26" xfId="214" xr:uid="{00000000-0005-0000-0000-0000D8000000}"/>
    <cellStyle name="Normal 26 2" xfId="215" xr:uid="{00000000-0005-0000-0000-0000D9000000}"/>
    <cellStyle name="Normal 27" xfId="216" xr:uid="{00000000-0005-0000-0000-0000DA000000}"/>
    <cellStyle name="Normal 28" xfId="217" xr:uid="{00000000-0005-0000-0000-0000DB000000}"/>
    <cellStyle name="Normal 29" xfId="218" xr:uid="{00000000-0005-0000-0000-0000DC000000}"/>
    <cellStyle name="Normal 3" xfId="219" xr:uid="{00000000-0005-0000-0000-0000DD000000}"/>
    <cellStyle name="Normal 3 2" xfId="220" xr:uid="{00000000-0005-0000-0000-0000DE000000}"/>
    <cellStyle name="Normal 3 3" xfId="221" xr:uid="{00000000-0005-0000-0000-0000DF000000}"/>
    <cellStyle name="Normal 3_Attach O, GG, Support -New Method 2-14-11" xfId="222" xr:uid="{00000000-0005-0000-0000-0000E0000000}"/>
    <cellStyle name="Normal 31" xfId="369" xr:uid="{00000000-0005-0000-0000-0000E1000000}"/>
    <cellStyle name="Normal 31 2" xfId="223" xr:uid="{00000000-0005-0000-0000-0000E2000000}"/>
    <cellStyle name="Normal 31 2 2" xfId="361" xr:uid="{00000000-0005-0000-0000-0000E3000000}"/>
    <cellStyle name="Normal 31 2 3" xfId="365" xr:uid="{00000000-0005-0000-0000-0000E4000000}"/>
    <cellStyle name="Normal 31 3" xfId="367" xr:uid="{00000000-0005-0000-0000-0000E5000000}"/>
    <cellStyle name="Normal 4" xfId="224" xr:uid="{00000000-0005-0000-0000-0000E6000000}"/>
    <cellStyle name="Normal 4 2" xfId="225" xr:uid="{00000000-0005-0000-0000-0000E7000000}"/>
    <cellStyle name="Normal 4 3" xfId="226" xr:uid="{00000000-0005-0000-0000-0000E8000000}"/>
    <cellStyle name="Normal 4 3 2" xfId="227" xr:uid="{00000000-0005-0000-0000-0000E9000000}"/>
    <cellStyle name="Normal 4 3 3" xfId="228" xr:uid="{00000000-0005-0000-0000-0000EA000000}"/>
    <cellStyle name="Normal 4 4" xfId="229" xr:uid="{00000000-0005-0000-0000-0000EB000000}"/>
    <cellStyle name="Normal 4 4 2" xfId="230" xr:uid="{00000000-0005-0000-0000-0000EC000000}"/>
    <cellStyle name="Normal 4 4 3" xfId="231" xr:uid="{00000000-0005-0000-0000-0000ED000000}"/>
    <cellStyle name="Normal 4 5" xfId="232" xr:uid="{00000000-0005-0000-0000-0000EE000000}"/>
    <cellStyle name="Normal 4 5 2" xfId="233" xr:uid="{00000000-0005-0000-0000-0000EF000000}"/>
    <cellStyle name="Normal 4 5 3" xfId="234" xr:uid="{00000000-0005-0000-0000-0000F0000000}"/>
    <cellStyle name="Normal 4 6" xfId="235" xr:uid="{00000000-0005-0000-0000-0000F1000000}"/>
    <cellStyle name="Normal 4 6 2" xfId="236" xr:uid="{00000000-0005-0000-0000-0000F2000000}"/>
    <cellStyle name="Normal 4 7" xfId="237" xr:uid="{00000000-0005-0000-0000-0000F3000000}"/>
    <cellStyle name="Normal 4 8" xfId="238" xr:uid="{00000000-0005-0000-0000-0000F4000000}"/>
    <cellStyle name="Normal 4_PBOP Exhibit 1" xfId="239" xr:uid="{00000000-0005-0000-0000-0000F5000000}"/>
    <cellStyle name="Normal 5" xfId="360" xr:uid="{00000000-0005-0000-0000-0000F6000000}"/>
    <cellStyle name="Normal 5 2" xfId="240" xr:uid="{00000000-0005-0000-0000-0000F7000000}"/>
    <cellStyle name="Normal 5 2 2" xfId="241" xr:uid="{00000000-0005-0000-0000-0000F8000000}"/>
    <cellStyle name="Normal 5 2 3" xfId="242" xr:uid="{00000000-0005-0000-0000-0000F9000000}"/>
    <cellStyle name="Normal 5 3" xfId="243" xr:uid="{00000000-0005-0000-0000-0000FA000000}"/>
    <cellStyle name="Normal 5 4" xfId="244" xr:uid="{00000000-0005-0000-0000-0000FB000000}"/>
    <cellStyle name="Normal 5 4 2" xfId="245" xr:uid="{00000000-0005-0000-0000-0000FC000000}"/>
    <cellStyle name="Normal 5 4 3" xfId="246" xr:uid="{00000000-0005-0000-0000-0000FD000000}"/>
    <cellStyle name="Normal 6 2" xfId="247" xr:uid="{00000000-0005-0000-0000-0000FE000000}"/>
    <cellStyle name="Normal 6 2 2" xfId="248" xr:uid="{00000000-0005-0000-0000-0000FF000000}"/>
    <cellStyle name="Normal 6 2 3" xfId="249" xr:uid="{00000000-0005-0000-0000-000000010000}"/>
    <cellStyle name="Normal 6 2 4" xfId="250" xr:uid="{00000000-0005-0000-0000-000001010000}"/>
    <cellStyle name="Normal 6 2 5" xfId="251" xr:uid="{00000000-0005-0000-0000-000002010000}"/>
    <cellStyle name="Normal 6 3" xfId="252" xr:uid="{00000000-0005-0000-0000-000003010000}"/>
    <cellStyle name="Normal 6 3 2" xfId="253" xr:uid="{00000000-0005-0000-0000-000004010000}"/>
    <cellStyle name="Normal 6 3 3" xfId="254" xr:uid="{00000000-0005-0000-0000-000005010000}"/>
    <cellStyle name="Normal 6 4" xfId="255" xr:uid="{00000000-0005-0000-0000-000006010000}"/>
    <cellStyle name="Normal 6 5" xfId="256" xr:uid="{00000000-0005-0000-0000-000007010000}"/>
    <cellStyle name="Normal 7" xfId="257" xr:uid="{00000000-0005-0000-0000-000008010000}"/>
    <cellStyle name="Normal 7 2" xfId="258" xr:uid="{00000000-0005-0000-0000-000009010000}"/>
    <cellStyle name="Normal 7 3" xfId="259" xr:uid="{00000000-0005-0000-0000-00000A010000}"/>
    <cellStyle name="Normal 7 4" xfId="260" xr:uid="{00000000-0005-0000-0000-00000B010000}"/>
    <cellStyle name="Normal 8" xfId="261" xr:uid="{00000000-0005-0000-0000-00000C010000}"/>
    <cellStyle name="Normal 8 2" xfId="262" xr:uid="{00000000-0005-0000-0000-00000D010000}"/>
    <cellStyle name="Normal 8 3" xfId="263" xr:uid="{00000000-0005-0000-0000-00000E010000}"/>
    <cellStyle name="Normal 8 4" xfId="264" xr:uid="{00000000-0005-0000-0000-00000F010000}"/>
    <cellStyle name="Normal 9" xfId="265" xr:uid="{00000000-0005-0000-0000-000010010000}"/>
    <cellStyle name="Normal 9 2" xfId="266" xr:uid="{00000000-0005-0000-0000-000011010000}"/>
    <cellStyle name="Normal 9 3" xfId="267" xr:uid="{00000000-0005-0000-0000-000012010000}"/>
    <cellStyle name="Normal 9 4" xfId="268" xr:uid="{00000000-0005-0000-0000-000013010000}"/>
    <cellStyle name="Normal_21 Exh B" xfId="269" xr:uid="{00000000-0005-0000-0000-000014010000}"/>
    <cellStyle name="Normal_ADITAnalysisID090805" xfId="270" xr:uid="{00000000-0005-0000-0000-000015010000}"/>
    <cellStyle name="Normal_ADITAnalysisID090805 2" xfId="271" xr:uid="{00000000-0005-0000-0000-000016010000}"/>
    <cellStyle name="Normal_ADITAnalysisID090805 2 2" xfId="272" xr:uid="{00000000-0005-0000-0000-000017010000}"/>
    <cellStyle name="Normal_ADITAnalysisID090805 2 3" xfId="363" xr:uid="{00000000-0005-0000-0000-000018010000}"/>
    <cellStyle name="Normal_ADITAnalysisID090805 3" xfId="273" xr:uid="{00000000-0005-0000-0000-000019010000}"/>
    <cellStyle name="Normal_ATC Projected 2008 Monthly Plant Balances for Attachment O 2 (2)" xfId="274" xr:uid="{00000000-0005-0000-0000-00001A010000}"/>
    <cellStyle name="Normal_AU Period 2 Rev 4-27-00" xfId="275" xr:uid="{00000000-0005-0000-0000-00001B010000}"/>
    <cellStyle name="Normal_Copy of PATH Formula Rate 2010 Projection Filed Sept 1, 2009 R1" xfId="276" xr:uid="{00000000-0005-0000-0000-00001C010000}"/>
    <cellStyle name="Normal_FN1 Ratebase Draft SPP template (6-11-04) v2" xfId="277" xr:uid="{00000000-0005-0000-0000-00001D010000}"/>
    <cellStyle name="Normal_I&amp;M-AK-1" xfId="278" xr:uid="{00000000-0005-0000-0000-00001E010000}"/>
    <cellStyle name="Normal_IM LTD Hedge Entries 2" xfId="279" xr:uid="{00000000-0005-0000-0000-00001F010000}"/>
    <cellStyle name="Normal_Revised 1-21-10  Deprec Summary" xfId="280" xr:uid="{00000000-0005-0000-0000-000020010000}"/>
    <cellStyle name="Normal_Schedule O Info for Mike" xfId="281" xr:uid="{00000000-0005-0000-0000-000021010000}"/>
    <cellStyle name="Normal_spp calc - revsd rev crd" xfId="282" xr:uid="{00000000-0005-0000-0000-000022010000}"/>
    <cellStyle name="Normal_spp calc - revsd rev crd 2" xfId="283" xr:uid="{00000000-0005-0000-0000-000023010000}"/>
    <cellStyle name="Normal_Worksheet Q Draft dwb edits" xfId="284" xr:uid="{00000000-0005-0000-0000-000024010000}"/>
    <cellStyle name="Note" xfId="285" builtinId="10" customBuiltin="1"/>
    <cellStyle name="Note 2" xfId="286" xr:uid="{00000000-0005-0000-0000-000026010000}"/>
    <cellStyle name="Output" xfId="287" builtinId="21" customBuiltin="1"/>
    <cellStyle name="Output 2" xfId="288" xr:uid="{00000000-0005-0000-0000-000028010000}"/>
    <cellStyle name="Percent" xfId="289" builtinId="5"/>
    <cellStyle name="Percent 11" xfId="368" xr:uid="{00000000-0005-0000-0000-00002A010000}"/>
    <cellStyle name="Percent 2" xfId="290" xr:uid="{00000000-0005-0000-0000-00002B010000}"/>
    <cellStyle name="Percent 2 2" xfId="291" xr:uid="{00000000-0005-0000-0000-00002C010000}"/>
    <cellStyle name="Percent 3" xfId="292" xr:uid="{00000000-0005-0000-0000-00002D010000}"/>
    <cellStyle name="Percent 3 2" xfId="293" xr:uid="{00000000-0005-0000-0000-00002E010000}"/>
    <cellStyle name="Percent 3 3" xfId="294" xr:uid="{00000000-0005-0000-0000-00002F010000}"/>
    <cellStyle name="Percent 3 3 2" xfId="295" xr:uid="{00000000-0005-0000-0000-000030010000}"/>
    <cellStyle name="Percent 3 3 3" xfId="296" xr:uid="{00000000-0005-0000-0000-000031010000}"/>
    <cellStyle name="Percent 3 4" xfId="297" xr:uid="{00000000-0005-0000-0000-000032010000}"/>
    <cellStyle name="Percent 3 4 2" xfId="298" xr:uid="{00000000-0005-0000-0000-000033010000}"/>
    <cellStyle name="Percent 3 4 3" xfId="299" xr:uid="{00000000-0005-0000-0000-000034010000}"/>
    <cellStyle name="Percent 3 5" xfId="300" xr:uid="{00000000-0005-0000-0000-000035010000}"/>
    <cellStyle name="Percent 3 5 2" xfId="301" xr:uid="{00000000-0005-0000-0000-000036010000}"/>
    <cellStyle name="Percent 3 5 3" xfId="302" xr:uid="{00000000-0005-0000-0000-000037010000}"/>
    <cellStyle name="Percent 3 6" xfId="303" xr:uid="{00000000-0005-0000-0000-000038010000}"/>
    <cellStyle name="Percent 3 6 2" xfId="304" xr:uid="{00000000-0005-0000-0000-000039010000}"/>
    <cellStyle name="Percent 3 7" xfId="305" xr:uid="{00000000-0005-0000-0000-00003A010000}"/>
    <cellStyle name="Percent 4" xfId="364" xr:uid="{00000000-0005-0000-0000-00003B010000}"/>
    <cellStyle name="Percent 4 2" xfId="306" xr:uid="{00000000-0005-0000-0000-00003C010000}"/>
    <cellStyle name="Percent 4 3" xfId="307" xr:uid="{00000000-0005-0000-0000-00003D010000}"/>
    <cellStyle name="Percent 4 3 2" xfId="308" xr:uid="{00000000-0005-0000-0000-00003E010000}"/>
    <cellStyle name="Percent 4 3 3" xfId="309" xr:uid="{00000000-0005-0000-0000-00003F010000}"/>
    <cellStyle name="Percent 4 4" xfId="310" xr:uid="{00000000-0005-0000-0000-000040010000}"/>
    <cellStyle name="Percent 5 2" xfId="311" xr:uid="{00000000-0005-0000-0000-000041010000}"/>
    <cellStyle name="Percent 6" xfId="312" xr:uid="{00000000-0005-0000-0000-000042010000}"/>
    <cellStyle name="Percent 7" xfId="313" xr:uid="{00000000-0005-0000-0000-000043010000}"/>
    <cellStyle name="Percent 8" xfId="314" xr:uid="{00000000-0005-0000-0000-000044010000}"/>
    <cellStyle name="PSChar" xfId="315" xr:uid="{00000000-0005-0000-0000-000045010000}"/>
    <cellStyle name="PSDate" xfId="316" xr:uid="{00000000-0005-0000-0000-000046010000}"/>
    <cellStyle name="PSDec" xfId="317" xr:uid="{00000000-0005-0000-0000-000047010000}"/>
    <cellStyle name="PSdesc" xfId="318" xr:uid="{00000000-0005-0000-0000-000048010000}"/>
    <cellStyle name="PSHeading" xfId="319" xr:uid="{00000000-0005-0000-0000-000049010000}"/>
    <cellStyle name="PSInt" xfId="320" xr:uid="{00000000-0005-0000-0000-00004A010000}"/>
    <cellStyle name="PSSpacer" xfId="321" xr:uid="{00000000-0005-0000-0000-00004B010000}"/>
    <cellStyle name="PStest" xfId="322" xr:uid="{00000000-0005-0000-0000-00004C010000}"/>
    <cellStyle name="R00A" xfId="323" xr:uid="{00000000-0005-0000-0000-00004D010000}"/>
    <cellStyle name="R00B" xfId="324" xr:uid="{00000000-0005-0000-0000-00004E010000}"/>
    <cellStyle name="R00L" xfId="325" xr:uid="{00000000-0005-0000-0000-00004F010000}"/>
    <cellStyle name="R01A" xfId="326" xr:uid="{00000000-0005-0000-0000-000050010000}"/>
    <cellStyle name="R01B" xfId="327" xr:uid="{00000000-0005-0000-0000-000051010000}"/>
    <cellStyle name="R01H" xfId="328" xr:uid="{00000000-0005-0000-0000-000052010000}"/>
    <cellStyle name="R01L" xfId="329" xr:uid="{00000000-0005-0000-0000-000053010000}"/>
    <cellStyle name="R02A" xfId="330" xr:uid="{00000000-0005-0000-0000-000054010000}"/>
    <cellStyle name="R02B" xfId="331" xr:uid="{00000000-0005-0000-0000-000055010000}"/>
    <cellStyle name="R02H" xfId="332" xr:uid="{00000000-0005-0000-0000-000056010000}"/>
    <cellStyle name="R02L" xfId="333" xr:uid="{00000000-0005-0000-0000-000057010000}"/>
    <cellStyle name="R03A" xfId="334" xr:uid="{00000000-0005-0000-0000-000058010000}"/>
    <cellStyle name="R03B" xfId="335" xr:uid="{00000000-0005-0000-0000-000059010000}"/>
    <cellStyle name="R03H" xfId="336" xr:uid="{00000000-0005-0000-0000-00005A010000}"/>
    <cellStyle name="R03L" xfId="337" xr:uid="{00000000-0005-0000-0000-00005B010000}"/>
    <cellStyle name="R04A" xfId="338" xr:uid="{00000000-0005-0000-0000-00005C010000}"/>
    <cellStyle name="R04B" xfId="339" xr:uid="{00000000-0005-0000-0000-00005D010000}"/>
    <cellStyle name="R04H" xfId="340" xr:uid="{00000000-0005-0000-0000-00005E010000}"/>
    <cellStyle name="R04L" xfId="341" xr:uid="{00000000-0005-0000-0000-00005F010000}"/>
    <cellStyle name="R05A" xfId="342" xr:uid="{00000000-0005-0000-0000-000060010000}"/>
    <cellStyle name="R05B" xfId="343" xr:uid="{00000000-0005-0000-0000-000061010000}"/>
    <cellStyle name="R05H" xfId="344" xr:uid="{00000000-0005-0000-0000-000062010000}"/>
    <cellStyle name="R05L" xfId="345" xr:uid="{00000000-0005-0000-0000-000063010000}"/>
    <cellStyle name="R06A" xfId="346" xr:uid="{00000000-0005-0000-0000-000064010000}"/>
    <cellStyle name="R06B" xfId="347" xr:uid="{00000000-0005-0000-0000-000065010000}"/>
    <cellStyle name="R06H" xfId="348" xr:uid="{00000000-0005-0000-0000-000066010000}"/>
    <cellStyle name="R06L" xfId="349" xr:uid="{00000000-0005-0000-0000-000067010000}"/>
    <cellStyle name="R07A" xfId="350" xr:uid="{00000000-0005-0000-0000-000068010000}"/>
    <cellStyle name="R07B" xfId="351" xr:uid="{00000000-0005-0000-0000-000069010000}"/>
    <cellStyle name="R07H" xfId="352" xr:uid="{00000000-0005-0000-0000-00006A010000}"/>
    <cellStyle name="R07L" xfId="353" xr:uid="{00000000-0005-0000-0000-00006B010000}"/>
    <cellStyle name="Title" xfId="354" builtinId="15" customBuiltin="1"/>
    <cellStyle name="Title 2" xfId="355" xr:uid="{00000000-0005-0000-0000-00006D010000}"/>
    <cellStyle name="Total" xfId="356" builtinId="25" customBuiltin="1"/>
    <cellStyle name="Total 2" xfId="357" xr:uid="{00000000-0005-0000-0000-00006F010000}"/>
    <cellStyle name="Warning Text" xfId="358" builtinId="11" customBuiltin="1"/>
    <cellStyle name="Warning Text 2" xfId="359" xr:uid="{00000000-0005-0000-0000-000071010000}"/>
  </cellStyles>
  <dxfs count="24">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ricing\dbw\SWPP%20Form%20Rate\Lila%20added\AEP%20SPP%20For%20Rate%20Proj%20w%2013%20mth%20rate%20base%20june-07%20-%20June-08x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horne\AppData\Local\Temp\1jkb0kxi\WV%20Transco%20Projected%202017_Settled-11-14-2017_Pop-old%20PBO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TCJA%20of%202017%20%20Impacts%20(ORDER%20864)\PJM%20Compliance%20Filing%204-2022\Attachment%2019%20-%20Indiana%20Michigan%20Transmission%20Company.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195155\AppData\Local\Microsoft\Windows\Temporary%20Internet%20Files\Content.Outlook\L15BWFUN\WV%20Trans%20Company%2013%20Mo%20Projected%202017%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ERC/FORMULA%20RATES/AEP%20East%20Transmission%20Formula%20Rates/2016%20PJM%20Formula%20Revisions%20(ER17-405-406)/Initial%20Filing%20Package/Templates/ER17-405%20H-14B%20-%20AEP%20OpCo%20Blank%20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Final%20PJM%20Formula%20Rate%20Settlement%20Discussions%202-19-10\DEPARTMENTAL%20DATA\Trans%20Cont%20&amp;%20Reg%20Supp\PJM%202008%20Updated%20Formula%20Rate\Settlement%202008%20for%20PJM%202009%20Rate\Settlement%20Templates%20w%20FERC%20Revisions\SJG%20Revisions\APC"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act of Revisions"/>
      <sheetName val="Zonal Rates"/>
      <sheetName val="Sch 1 Rates"/>
      <sheetName val="Load WS"/>
      <sheetName val="PSO 2008 TCOS 13 Mnth"/>
      <sheetName val="PSO WsA Rev Credits"/>
      <sheetName val="PSO WsB IPP"/>
      <sheetName val="PSO WsC RB Tax"/>
      <sheetName val="PSO Ws C-1 2008 ADIT Avg Bal"/>
      <sheetName val="PSO WsD Misc Exp"/>
      <sheetName val="PSO WsE Acct 561"/>
      <sheetName val="PSO WsF Inc Prjts"/>
      <sheetName val="PSO WsG BPU"/>
      <sheetName val="PSO WsI Bal Sheet"/>
      <sheetName val="PSO WsI - 1 13 Month Prepaids"/>
      <sheetName val="PSO WsJ Tax"/>
      <sheetName val="PSO WsK CWIP"/>
      <sheetName val="SWP TCOS 2008 13 Month"/>
      <sheetName val="SWP WsA Rev Credits"/>
      <sheetName val="SWP WsB IPP"/>
      <sheetName val="SWP WsC RB Tax"/>
      <sheetName val="SWP WsC-1 ADIT 2008 13 Mth Avg "/>
      <sheetName val="SWP WsD Misc Exp"/>
      <sheetName val="SWP WsE Acct 561"/>
      <sheetName val="SWP WsF Inc Prjts"/>
      <sheetName val="SWP WsG BPU"/>
      <sheetName val="SWP WsI Bal Sheet"/>
      <sheetName val="SWP WsI-1 13 Month Prepaids "/>
      <sheetName val="SWP WsJ Tax"/>
      <sheetName val="SWP WsK CWIP"/>
      <sheetName val="FERC Balance Sheet"/>
      <sheetName val="PSO 13 Month Rate Base"/>
      <sheetName val="SWEPCo 13 Month Rate Base"/>
      <sheetName val="Plant Detail - Book"/>
      <sheetName val="FERC Income Stmt w Details"/>
      <sheetName val="Depreciation Detail"/>
      <sheetName val="Taxes Other Detai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317">
          <cell r="I317" t="str">
            <v>CE</v>
          </cell>
          <cell r="J317">
            <v>6.3272239966292818E-2</v>
          </cell>
        </row>
        <row r="318">
          <cell r="I318" t="str">
            <v>DA</v>
          </cell>
          <cell r="J318">
            <v>1</v>
          </cell>
        </row>
        <row r="319">
          <cell r="I319" t="str">
            <v>GP(b)</v>
          </cell>
          <cell r="J319">
            <v>0.17830317329522682</v>
          </cell>
        </row>
        <row r="320">
          <cell r="I320" t="str">
            <v>GP(p)</v>
          </cell>
          <cell r="J320">
            <v>0.17830317329522682</v>
          </cell>
        </row>
        <row r="321">
          <cell r="I321" t="str">
            <v>GTD(p)</v>
          </cell>
          <cell r="J321">
            <v>0.35796417623075211</v>
          </cell>
        </row>
        <row r="322">
          <cell r="I322" t="str">
            <v>GTD(h)</v>
          </cell>
          <cell r="J322">
            <v>0.35796417623075211</v>
          </cell>
        </row>
        <row r="323">
          <cell r="I323" t="str">
            <v>NA</v>
          </cell>
          <cell r="J323">
            <v>0</v>
          </cell>
        </row>
        <row r="324">
          <cell r="I324" t="str">
            <v>NP(b)</v>
          </cell>
          <cell r="J324">
            <v>0.21388078637862473</v>
          </cell>
        </row>
        <row r="325">
          <cell r="I325" t="str">
            <v>NP(p)</v>
          </cell>
          <cell r="J325">
            <v>0.21388078637862473</v>
          </cell>
        </row>
        <row r="326">
          <cell r="I326" t="str">
            <v>TP</v>
          </cell>
          <cell r="J326">
            <v>0.97384420488446088</v>
          </cell>
        </row>
        <row r="327">
          <cell r="I327" t="str">
            <v>TP1</v>
          </cell>
          <cell r="J327">
            <v>0.98824625472059235</v>
          </cell>
        </row>
        <row r="328">
          <cell r="I328" t="str">
            <v>W/S</v>
          </cell>
          <cell r="J328">
            <v>6.3272239966292818E-2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A  - RB Support - Old "/>
      <sheetName val="WS B ADIT &amp; ITC"/>
      <sheetName val="WS B-1 - Actual Stmt. AF"/>
      <sheetName val="WS B-2 - Actual Stmt. AG"/>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M - Avg Cap Structure - Old"/>
      <sheetName val="WS N - Sale of Plant Held"/>
      <sheetName val="Worksheet O"/>
      <sheetName val="WS P Dep. Rates"/>
      <sheetName val="WS Q Cap Structure"/>
      <sheetName val="WS R Interest"/>
    </sheetNames>
    <sheetDataSet>
      <sheetData sheetId="0">
        <row r="104">
          <cell r="J104">
            <v>0.99999176542448442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ate Base Support"/>
      <sheetName val="WS B ADIT &amp; ITC"/>
      <sheetName val="WS B-1 - Actual Stmt. AF"/>
      <sheetName val="WS B-2 - Actual Stmt. AG"/>
      <sheetName val="WS B-3 Ex&amp;Def ADIT"/>
      <sheetName val="WS B-3-A Remeas Suprt"/>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Cost of Capital"/>
      <sheetName val="WS N - Sale of Plant Held"/>
      <sheetName val="Worksheet O"/>
      <sheetName val="WS P Dep. Rates"/>
      <sheetName val="WS Q Cap Structure"/>
      <sheetName val="WS R Interest"/>
      <sheetName val="WS R Interest(2)"/>
    </sheetNames>
    <sheetDataSet>
      <sheetData sheetId="0">
        <row r="82">
          <cell r="J82">
            <v>0.99859449345713813</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evisions @ 12-15-09"/>
      <sheetName val="TCOS"/>
      <sheetName val="WS A 13 Mo Rate Base"/>
      <sheetName val="WS M 13 Mo Cost of Capital"/>
      <sheetName val="WS A  - RB Support "/>
      <sheetName val="WS B ADIT &amp; ITC"/>
      <sheetName val="WS C  - Working Capital"/>
      <sheetName val="WS D IPP Credits"/>
      <sheetName val="WS E Rev Credits"/>
      <sheetName val="WS F Misc Exp"/>
      <sheetName val="WS G  State Tax Rate"/>
      <sheetName val="WS H-p1 Other Taxes"/>
      <sheetName val="WS H-p2 Detail of Tax Amts"/>
      <sheetName val="WS I RESERVED"/>
      <sheetName val="WS J PROJECTED RTEP RR"/>
      <sheetName val="WS K TRUE-UP RTEP RR"/>
      <sheetName val="WS L RESERVED"/>
      <sheetName val="WS M - Avg Cap Structure"/>
      <sheetName val="WS N - Sale of Plant Held"/>
      <sheetName val="Worksheet O"/>
      <sheetName val="WS P Dep. Rates"/>
      <sheetName val="WS Q Cap Structure"/>
      <sheetName val="WS R Interest"/>
    </sheetNames>
    <sheetDataSet>
      <sheetData sheetId="0" refreshError="1"/>
      <sheetData sheetId="1">
        <row r="102">
          <cell r="J102">
            <v>0.99999176542448442</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COS"/>
      <sheetName val="WS A  - RB Support "/>
      <sheetName val="WS B ADIT &amp; ITC"/>
      <sheetName val="WS C  - Working Capital"/>
      <sheetName val="WS D IPP Credits"/>
      <sheetName val="WS E Rev Credits"/>
      <sheetName val="WS F Misc Exp"/>
      <sheetName val="WS G  State Tax Rate"/>
      <sheetName val="WS H Other Taxes"/>
      <sheetName val="WS H-1-Detail of Tax Amts"/>
      <sheetName val="WS I Reserved"/>
      <sheetName val="WS J PROJECTED RTEP RR"/>
      <sheetName val="WS K TRUE-UP RTEP RR"/>
      <sheetName val="WS L Reserved"/>
      <sheetName val="WS M - Avg Cap Structure"/>
      <sheetName val="WS N - Sale of Plant Held"/>
      <sheetName val="WS O"/>
      <sheetName val="APC - WS P Dep. Rates"/>
      <sheetName val="IMC - WS P Dep. Rates"/>
      <sheetName val="KGP - WS P Dep. Rates"/>
      <sheetName val="KPC - WS P Dep. Rates"/>
      <sheetName val="OPC - WS P Dep. Rates"/>
      <sheetName val="WPC-WS P Dep. Rates"/>
      <sheetName val="WS Q Interest"/>
      <sheetName val="#REF"/>
    </sheetNames>
    <sheetDataSet>
      <sheetData sheetId="0">
        <row r="105">
          <cell r="J105" t="e">
            <v>#DIV/0!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Co Projected TCOS"/>
      <sheetName val="APCo Historic TCOS"/>
      <sheetName val="APCo True-UP TCOS"/>
      <sheetName val="APCo WS A  - RB Support "/>
      <sheetName val="APCo WS B ADIT &amp; ITC"/>
      <sheetName val="APCo WS C  - Working Capital"/>
      <sheetName val="APCo WS D IPP Credits"/>
      <sheetName val="APCo WS E Rev Credits"/>
      <sheetName val="APCo WS F Misc Exp"/>
      <sheetName val="APCo WS G  State Tax Rate"/>
      <sheetName val="APCo WS H Other Taxes"/>
      <sheetName val="APCo WS I Projected Plant"/>
      <sheetName val="APCo WS J PROJECTED RTEP RR"/>
      <sheetName val="APCo WS K TRUE-UP RTEP RR"/>
      <sheetName val="APCo WS L Cost of Debt"/>
      <sheetName val="APCo WS M - Avg Cap Structure"/>
      <sheetName val="APCo WS N - Sale of Plant Held"/>
      <sheetName val="APCo -WS O"/>
    </sheetNames>
    <sheetDataSet>
      <sheetData sheetId="0"/>
      <sheetData sheetId="1">
        <row r="100">
          <cell r="J100">
            <v>0.23250098422059287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zoomScale="70" zoomScaleNormal="70" zoomScaleSheetLayoutView="70" zoomScalePageLayoutView="50" workbookViewId="0">
      <selection activeCell="B2" sqref="B2"/>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0"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0" t="s">
        <v>416</v>
      </c>
    </row>
    <row r="2" spans="1:16" ht="15.75">
      <c r="A2" s="1000" t="s">
        <v>416</v>
      </c>
    </row>
    <row r="3" spans="1:16" ht="15.75">
      <c r="D3" s="156"/>
      <c r="E3" s="157"/>
      <c r="F3" s="157"/>
      <c r="G3" s="158"/>
      <c r="I3" s="159"/>
      <c r="J3" s="159"/>
      <c r="K3" s="159"/>
      <c r="L3" s="160"/>
      <c r="N3" s="155" t="s">
        <v>416</v>
      </c>
      <c r="O3" s="161" t="s">
        <v>416</v>
      </c>
      <c r="P3" s="155" t="s">
        <v>416</v>
      </c>
    </row>
    <row r="4" spans="1:16">
      <c r="I4" s="155" t="s">
        <v>556</v>
      </c>
      <c r="L4" s="417">
        <v>2021</v>
      </c>
    </row>
    <row r="5" spans="1:16">
      <c r="D5" s="162"/>
      <c r="E5" s="162"/>
      <c r="F5" s="163" t="s">
        <v>331</v>
      </c>
      <c r="G5" s="164"/>
      <c r="H5" s="164"/>
      <c r="J5" s="162"/>
      <c r="K5" s="165"/>
      <c r="L5" s="165"/>
      <c r="M5" s="166"/>
      <c r="O5" s="167"/>
    </row>
    <row r="6" spans="1:16">
      <c r="D6" s="162"/>
      <c r="E6" s="168"/>
      <c r="F6" s="163" t="s">
        <v>205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803</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469</v>
      </c>
      <c r="C11" s="171"/>
      <c r="D11" s="165"/>
      <c r="E11" s="165"/>
      <c r="F11" s="165"/>
      <c r="G11" s="175"/>
      <c r="H11" s="165"/>
      <c r="I11" s="165"/>
      <c r="J11" s="165"/>
      <c r="K11" s="165"/>
      <c r="L11" s="171" t="s">
        <v>417</v>
      </c>
      <c r="M11" s="165"/>
    </row>
    <row r="12" spans="1:16" ht="15.75" thickBot="1">
      <c r="B12" s="177" t="s">
        <v>419</v>
      </c>
      <c r="C12" s="178"/>
      <c r="D12" s="165"/>
      <c r="E12" s="178"/>
      <c r="F12" s="165"/>
      <c r="G12" s="165"/>
      <c r="H12" s="165"/>
      <c r="I12" s="165"/>
      <c r="J12" s="165"/>
      <c r="K12" s="165"/>
      <c r="L12" s="179" t="s">
        <v>470</v>
      </c>
      <c r="M12" s="165"/>
    </row>
    <row r="13" spans="1:16">
      <c r="B13" s="170">
        <v>1</v>
      </c>
      <c r="C13" s="171"/>
      <c r="D13" s="180" t="s">
        <v>413</v>
      </c>
      <c r="E13" s="181" t="str">
        <f>"(ln "&amp;B191&amp;")"</f>
        <v>(ln 113)</v>
      </c>
      <c r="F13" s="181"/>
      <c r="G13" s="182"/>
      <c r="H13" s="183"/>
      <c r="I13" s="165"/>
      <c r="J13" s="165"/>
      <c r="K13" s="165"/>
      <c r="L13" s="184">
        <f>+L191</f>
        <v>378481541.94181567</v>
      </c>
      <c r="M13" s="184"/>
    </row>
    <row r="14" spans="1:16" ht="15.75" thickBot="1">
      <c r="B14" s="170"/>
      <c r="C14" s="171"/>
      <c r="E14" s="185"/>
      <c r="F14" s="186"/>
      <c r="G14" s="179" t="s">
        <v>420</v>
      </c>
      <c r="H14" s="168"/>
      <c r="I14" s="187" t="s">
        <v>421</v>
      </c>
      <c r="J14" s="187"/>
      <c r="K14" s="165"/>
      <c r="L14" s="182"/>
      <c r="M14" s="165"/>
    </row>
    <row r="15" spans="1:16">
      <c r="B15" s="170">
        <f>+B13+1</f>
        <v>2</v>
      </c>
      <c r="C15" s="171"/>
      <c r="D15" s="188" t="s">
        <v>468</v>
      </c>
      <c r="E15" s="185" t="str">
        <f>"(Worksheet E,  ln  "&amp;'WS E Rev Credits'!A31&amp;") (Note A) "</f>
        <v xml:space="preserve">(Worksheet E,  ln  8) (Note A) </v>
      </c>
      <c r="F15" s="186"/>
      <c r="G15" s="189">
        <f>+'WS E Rev Credits'!K31</f>
        <v>1729448.0120000001</v>
      </c>
      <c r="H15" s="186"/>
      <c r="I15" s="190" t="s">
        <v>430</v>
      </c>
      <c r="J15" s="191">
        <v>1</v>
      </c>
      <c r="K15" s="168"/>
      <c r="L15" s="192">
        <f>+J15*G15</f>
        <v>1729448.0120000001</v>
      </c>
      <c r="M15" s="1406"/>
    </row>
    <row r="16" spans="1:16">
      <c r="B16" s="170"/>
      <c r="C16" s="171"/>
      <c r="D16" s="188"/>
      <c r="E16" s="185"/>
      <c r="F16" s="186"/>
      <c r="G16" s="189"/>
      <c r="H16" s="186"/>
      <c r="I16" s="190"/>
      <c r="J16" s="191"/>
      <c r="K16" s="168"/>
      <c r="L16" s="192"/>
      <c r="M16" s="165"/>
    </row>
    <row r="17" spans="2:13">
      <c r="B17" s="193">
        <f>+B15+1</f>
        <v>3</v>
      </c>
      <c r="C17" s="171"/>
      <c r="D17" s="188" t="s">
        <v>557</v>
      </c>
      <c r="E17" s="155" t="str">
        <f>"Worksheet E, ln "&amp;'WS E Rev Credits'!A33&amp;") (Note X) "</f>
        <v xml:space="preserve">Worksheet E, ln 9) (Note X) </v>
      </c>
      <c r="F17" s="168"/>
      <c r="L17" s="161">
        <f>'WS E Rev Credits'!K33</f>
        <v>0</v>
      </c>
      <c r="M17" s="165"/>
    </row>
    <row r="18" spans="2:13" ht="30.75" thickBot="1">
      <c r="B18" s="193">
        <f>+B17+1</f>
        <v>4</v>
      </c>
      <c r="C18" s="194"/>
      <c r="D18" s="195" t="s">
        <v>254</v>
      </c>
      <c r="E18" s="196" t="str">
        <f>"(ln "&amp;B13&amp;"  less ln " &amp;B15&amp;" plus ln 3)"</f>
        <v>(ln 1  less ln 2 plus ln 3)</v>
      </c>
      <c r="F18" s="165"/>
      <c r="H18" s="168"/>
      <c r="I18" s="197"/>
      <c r="J18" s="168"/>
      <c r="K18" s="168"/>
      <c r="L18" s="198">
        <f>+L13-L15+L17</f>
        <v>376752093.92981565</v>
      </c>
      <c r="M18" s="618"/>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94"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94"/>
      <c r="D21" s="1494"/>
      <c r="E21" s="1494"/>
      <c r="F21" s="1494"/>
      <c r="G21" s="1494"/>
      <c r="H21" s="1494"/>
      <c r="I21" s="1494"/>
    </row>
    <row r="22" spans="2:13" ht="35.25" customHeight="1">
      <c r="B22" s="1494"/>
      <c r="C22" s="1494"/>
      <c r="D22" s="1494"/>
      <c r="E22" s="1494"/>
      <c r="F22" s="1494"/>
      <c r="G22" s="1494"/>
      <c r="H22" s="1494"/>
      <c r="I22" s="1494"/>
    </row>
    <row r="23" spans="2:13" ht="15" customHeight="1">
      <c r="B23" s="200"/>
      <c r="C23" s="200"/>
      <c r="D23" s="200"/>
      <c r="E23" s="200"/>
      <c r="F23" s="200"/>
      <c r="G23" s="200"/>
      <c r="H23" s="200"/>
      <c r="I23" s="200"/>
    </row>
    <row r="24" spans="2:13">
      <c r="B24" s="170">
        <f>+B18+1</f>
        <v>5</v>
      </c>
      <c r="C24" s="194"/>
      <c r="D24" s="201" t="s">
        <v>558</v>
      </c>
      <c r="E24" s="185"/>
      <c r="F24" s="186"/>
      <c r="G24" s="1235">
        <f>'WS K TRUE-UP RTEP RR'!N22</f>
        <v>49500447.763588294</v>
      </c>
      <c r="H24" s="186"/>
      <c r="I24" s="190" t="s">
        <v>430</v>
      </c>
      <c r="J24" s="191">
        <v>1</v>
      </c>
      <c r="K24" s="181"/>
      <c r="L24" s="202">
        <f>+J24*G24</f>
        <v>49500447.763588294</v>
      </c>
      <c r="M24" s="618"/>
    </row>
    <row r="25" spans="2:13">
      <c r="B25" s="170"/>
      <c r="C25" s="194"/>
      <c r="D25" s="201"/>
      <c r="E25" s="196"/>
      <c r="F25" s="186"/>
      <c r="G25" s="203"/>
      <c r="H25" s="186"/>
      <c r="I25" s="186"/>
      <c r="J25" s="191"/>
      <c r="K25" s="181"/>
      <c r="L25" s="202"/>
      <c r="M25" s="165"/>
    </row>
    <row r="26" spans="2:13">
      <c r="B26" s="193">
        <f>+B24+1</f>
        <v>6</v>
      </c>
      <c r="C26" s="194"/>
      <c r="D26" s="201" t="s">
        <v>178</v>
      </c>
      <c r="E26" s="185"/>
      <c r="F26" s="165"/>
      <c r="G26" s="204"/>
      <c r="H26" s="165"/>
      <c r="J26" s="165"/>
      <c r="K26" s="165"/>
      <c r="M26" s="618"/>
    </row>
    <row r="27" spans="2:13">
      <c r="B27" s="170">
        <f>B26+1</f>
        <v>7</v>
      </c>
      <c r="C27" s="194"/>
      <c r="D27" s="205" t="s">
        <v>50</v>
      </c>
      <c r="E27" s="181" t="str">
        <f>"( (ln "&amp;B13&amp;"- ln "&amp;B150&amp;")/((ln "&amp;$B$79&amp;" ) x 100) )"</f>
        <v>( (ln 1- ln 80)/((ln 33 ) x 100) )</v>
      </c>
      <c r="F27" s="171"/>
      <c r="G27" s="171"/>
      <c r="H27" s="171"/>
      <c r="I27" s="206"/>
      <c r="J27" s="206"/>
      <c r="K27" s="206"/>
      <c r="L27" s="207">
        <f>IF((L79)=0,0,(L13-L150)/(L79))</f>
        <v>0.14339864546290598</v>
      </c>
      <c r="M27" s="165"/>
    </row>
    <row r="28" spans="2:13">
      <c r="B28" s="170">
        <f>B27+1</f>
        <v>8</v>
      </c>
      <c r="C28" s="194"/>
      <c r="D28" s="205" t="s">
        <v>51</v>
      </c>
      <c r="E28" s="181" t="str">
        <f>"(ln "&amp;B27&amp;" / 12)"</f>
        <v>(ln 7 / 12)</v>
      </c>
      <c r="F28" s="171"/>
      <c r="G28" s="171"/>
      <c r="H28" s="171"/>
      <c r="I28" s="206"/>
      <c r="J28" s="206"/>
      <c r="K28" s="206"/>
      <c r="L28" s="208">
        <f>L27/12</f>
        <v>1.1949887121908831E-2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50</v>
      </c>
      <c r="E31" s="181" t="str">
        <f>"( (ln "&amp;B13&amp;"- ln "&amp;B150&amp;" - ln "&amp;B154&amp;")/((ln "&amp;$B$79&amp;") x 100) )"</f>
        <v>( (ln 1- ln 80 - ln 83)/((ln 33) x 100) )</v>
      </c>
      <c r="F31" s="171"/>
      <c r="G31" s="171"/>
      <c r="H31" s="171"/>
      <c r="I31" s="206"/>
      <c r="J31" s="206"/>
      <c r="K31" s="206"/>
      <c r="L31" s="207">
        <f>IF(L79=0,0,(L13-L150-L154)/L79)</f>
        <v>0.11565015966136639</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50</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2.5831610846247549E-2</v>
      </c>
      <c r="M34" s="173"/>
    </row>
    <row r="35" spans="2:13">
      <c r="B35" s="170"/>
      <c r="C35" s="194"/>
      <c r="D35" s="162"/>
      <c r="E35" s="181"/>
      <c r="F35" s="171"/>
      <c r="G35" s="171"/>
      <c r="H35" s="171"/>
      <c r="I35" s="206"/>
      <c r="J35" s="206"/>
      <c r="K35" s="206"/>
      <c r="L35" s="207"/>
      <c r="M35" s="211"/>
    </row>
    <row r="36" spans="2:13">
      <c r="B36" s="170">
        <f>B34+1</f>
        <v>13</v>
      </c>
      <c r="C36" s="171"/>
      <c r="D36" s="212" t="s">
        <v>559</v>
      </c>
      <c r="E36" s="181"/>
      <c r="F36" s="171"/>
      <c r="G36" s="171"/>
      <c r="H36" s="171"/>
      <c r="I36" s="206"/>
      <c r="J36" s="206"/>
      <c r="K36" s="206"/>
      <c r="L36" s="415">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500" t="s">
        <v>217</v>
      </c>
      <c r="E39" s="1500"/>
      <c r="F39" s="1500"/>
      <c r="G39" s="1500"/>
      <c r="H39" s="1500"/>
      <c r="I39" s="1500"/>
      <c r="J39" s="1500"/>
      <c r="K39" s="1500"/>
      <c r="L39" s="1500"/>
      <c r="M39" s="165"/>
    </row>
    <row r="40" spans="2:13">
      <c r="B40" s="170"/>
      <c r="C40" s="171"/>
      <c r="E40" s="181"/>
      <c r="F40" s="171"/>
      <c r="G40" s="171"/>
      <c r="H40" s="171"/>
      <c r="I40" s="206"/>
      <c r="J40" s="206"/>
      <c r="K40" s="206"/>
      <c r="L40" s="207"/>
      <c r="M40" s="165"/>
    </row>
    <row r="41" spans="2:13">
      <c r="B41" s="170">
        <f>+B39+1</f>
        <v>15</v>
      </c>
      <c r="C41" s="171"/>
      <c r="D41" s="180" t="s">
        <v>219</v>
      </c>
      <c r="E41" s="181" t="str">
        <f>"Line "&amp;B131&amp;" Below"</f>
        <v>Line 63 Below</v>
      </c>
      <c r="F41" s="171"/>
      <c r="H41" s="171"/>
      <c r="I41" s="206"/>
      <c r="J41" s="206"/>
      <c r="K41" s="206"/>
      <c r="L41" s="213">
        <f>+G131</f>
        <v>913009.62</v>
      </c>
      <c r="M41" s="165"/>
    </row>
    <row r="42" spans="2:13">
      <c r="B42" s="170">
        <f>+B41+1</f>
        <v>16</v>
      </c>
      <c r="C42" s="171"/>
      <c r="D42" s="180" t="s">
        <v>284</v>
      </c>
      <c r="E42" s="165"/>
      <c r="F42" s="171"/>
      <c r="H42" s="171"/>
      <c r="I42" s="206"/>
      <c r="J42" s="206"/>
      <c r="K42" s="206"/>
      <c r="L42" s="144">
        <f>'WS F Misc Exp'!D28</f>
        <v>0</v>
      </c>
      <c r="M42" s="165"/>
    </row>
    <row r="43" spans="2:13">
      <c r="B43" s="170">
        <f>+B42+1</f>
        <v>17</v>
      </c>
      <c r="C43" s="171"/>
      <c r="D43" s="180" t="s">
        <v>285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218</v>
      </c>
      <c r="E45" s="183" t="str">
        <f>"(Line "&amp;B41&amp;" - Line "&amp;B42&amp;" - Line "&amp;B43&amp;")"</f>
        <v>(Line 15 - Line 16 - Line 17)</v>
      </c>
      <c r="F45" s="171"/>
      <c r="H45" s="171"/>
      <c r="I45" s="206"/>
      <c r="J45" s="206"/>
      <c r="K45" s="206"/>
      <c r="L45" s="214">
        <f>+L41-L42-L43</f>
        <v>913009.62</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Indiana Michigan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423</v>
      </c>
      <c r="E57" s="171" t="s">
        <v>424</v>
      </c>
      <c r="F57" s="171"/>
      <c r="G57" s="171" t="s">
        <v>425</v>
      </c>
      <c r="H57" s="168" t="s">
        <v>416</v>
      </c>
      <c r="I57" s="1495" t="s">
        <v>426</v>
      </c>
      <c r="J57" s="1496"/>
      <c r="K57" s="168"/>
      <c r="L57" s="172" t="s">
        <v>427</v>
      </c>
      <c r="M57" s="168"/>
    </row>
    <row r="58" spans="2:16">
      <c r="B58" s="155"/>
      <c r="D58" s="209"/>
      <c r="E58" s="209"/>
      <c r="F58" s="209"/>
      <c r="G58" s="213"/>
      <c r="H58" s="168"/>
      <c r="I58" s="168"/>
      <c r="J58" s="221"/>
      <c r="K58" s="168"/>
      <c r="M58" s="168"/>
    </row>
    <row r="59" spans="2:16" ht="15.75">
      <c r="B59" s="222"/>
      <c r="C59" s="171"/>
      <c r="D59" s="209"/>
      <c r="E59" s="223" t="s">
        <v>396</v>
      </c>
      <c r="F59" s="224"/>
      <c r="G59" s="168"/>
      <c r="H59" s="168"/>
      <c r="I59" s="168"/>
      <c r="J59" s="171"/>
      <c r="K59" s="168"/>
      <c r="L59" s="225" t="s">
        <v>420</v>
      </c>
      <c r="M59" s="168"/>
      <c r="P59" s="216"/>
    </row>
    <row r="60" spans="2:16" ht="15.75">
      <c r="B60" s="155"/>
      <c r="C60" s="178"/>
      <c r="D60" s="226" t="s">
        <v>395</v>
      </c>
      <c r="E60" s="227" t="s">
        <v>414</v>
      </c>
      <c r="F60" s="168"/>
      <c r="G60" s="226" t="s">
        <v>382</v>
      </c>
      <c r="H60" s="228"/>
      <c r="I60" s="1497" t="s">
        <v>421</v>
      </c>
      <c r="J60" s="1498"/>
      <c r="K60" s="228"/>
      <c r="L60" s="226" t="s">
        <v>417</v>
      </c>
      <c r="M60" s="168"/>
    </row>
    <row r="61" spans="2:16">
      <c r="B61" s="229" t="str">
        <f>B11</f>
        <v>Line</v>
      </c>
      <c r="C61" s="171"/>
      <c r="D61" s="162"/>
      <c r="E61" s="168"/>
      <c r="F61" s="168"/>
      <c r="G61" s="230" t="s">
        <v>158</v>
      </c>
      <c r="H61" s="168"/>
      <c r="I61" s="168"/>
      <c r="J61" s="168"/>
      <c r="K61" s="168"/>
      <c r="L61" s="168"/>
      <c r="M61" s="168"/>
    </row>
    <row r="62" spans="2:16" ht="15.75" thickBot="1">
      <c r="B62" s="177" t="str">
        <f>B12</f>
        <v>No.</v>
      </c>
      <c r="C62" s="171"/>
      <c r="D62" s="162" t="s">
        <v>383</v>
      </c>
      <c r="E62" s="231"/>
      <c r="F62" s="231"/>
      <c r="G62" s="186"/>
      <c r="H62" s="186"/>
      <c r="I62" s="190"/>
      <c r="J62" s="186"/>
      <c r="K62" s="186"/>
      <c r="L62" s="186"/>
      <c r="M62" s="168"/>
    </row>
    <row r="63" spans="2:16">
      <c r="B63" s="170">
        <f>+B45+1</f>
        <v>19</v>
      </c>
      <c r="C63" s="233"/>
      <c r="D63" s="234" t="s">
        <v>429</v>
      </c>
      <c r="E63" s="186" t="str">
        <f>"(Worksheet A ln "&amp;'WS A - Rate Base Support'!A23&amp;"."&amp;'WS A - Rate Base Support'!C8 &amp;" &amp; Ln "&amp;B207&amp;")"</f>
        <v>(Worksheet A ln 14.(d) &amp; Ln 117)</v>
      </c>
      <c r="F63" s="235"/>
      <c r="G63" s="203">
        <f>'WS A - Rate Base Support'!C23</f>
        <v>2856180896.0507693</v>
      </c>
      <c r="H63" s="203"/>
      <c r="I63" s="236" t="s">
        <v>430</v>
      </c>
      <c r="J63" s="191">
        <v>1</v>
      </c>
      <c r="K63" s="237"/>
      <c r="L63" s="238">
        <f>+L207</f>
        <v>2823517874.4000001</v>
      </c>
      <c r="M63" s="239"/>
    </row>
    <row r="64" spans="2:16">
      <c r="B64" s="170">
        <f>+B63+1</f>
        <v>20</v>
      </c>
      <c r="C64" s="233"/>
      <c r="D64" s="240" t="s">
        <v>181</v>
      </c>
      <c r="E64" s="186" t="str">
        <f>"(Worksheet A ln "&amp;'WS A - Rate Base Support'!A23&amp;"."&amp;'WS A - Rate Base Support'!D8 &amp;")"</f>
        <v>(Worksheet A ln 14.(e))</v>
      </c>
      <c r="F64" s="235"/>
      <c r="G64" s="203">
        <f>'WS A - Rate Base Support'!D23</f>
        <v>0</v>
      </c>
      <c r="H64" s="203"/>
      <c r="I64" s="236" t="s">
        <v>422</v>
      </c>
      <c r="J64" s="191">
        <f>J134</f>
        <v>0.98856409210777496</v>
      </c>
      <c r="K64" s="237"/>
      <c r="L64" s="238">
        <f>+G64*J64</f>
        <v>0</v>
      </c>
      <c r="M64" s="239"/>
    </row>
    <row r="65" spans="2:15">
      <c r="B65" s="170">
        <f>+B64+1</f>
        <v>21</v>
      </c>
      <c r="C65" s="233"/>
      <c r="D65" s="162" t="s">
        <v>431</v>
      </c>
      <c r="E65" s="186" t="str">
        <f>"(Worksheet A ln "&amp;'WS A - Rate Base Support'!A23&amp;"."&amp;'WS A - Rate Base Support'!E8 &amp;")"</f>
        <v>(Worksheet A ln 14.(h))</v>
      </c>
      <c r="F65" s="186"/>
      <c r="G65" s="203">
        <f>'WS A - Rate Base Support'!E23</f>
        <v>54763217.625384614</v>
      </c>
      <c r="H65" s="203"/>
      <c r="I65" s="190" t="s">
        <v>432</v>
      </c>
      <c r="J65" s="191">
        <f>L219</f>
        <v>0.98856409210777496</v>
      </c>
      <c r="K65" s="186"/>
      <c r="L65" s="203">
        <f>+J65*G65</f>
        <v>54136950.512738839</v>
      </c>
      <c r="M65" s="168"/>
    </row>
    <row r="66" spans="2:15">
      <c r="B66" s="170">
        <f>+B65+1</f>
        <v>22</v>
      </c>
      <c r="C66" s="233"/>
      <c r="D66" s="241" t="s">
        <v>180</v>
      </c>
      <c r="E66" s="186" t="str">
        <f>"(Worksheet A ln "&amp;'WS A - Rate Base Support'!A23&amp;"."&amp;'WS A - Rate Base Support'!F8 &amp;")"</f>
        <v>(Worksheet A ln 14.(i))</v>
      </c>
      <c r="F66" s="186"/>
      <c r="G66" s="203">
        <f>'WS A - Rate Base Support'!F23</f>
        <v>0</v>
      </c>
      <c r="H66" s="203"/>
      <c r="I66" s="190" t="s">
        <v>432</v>
      </c>
      <c r="J66" s="191">
        <f>L219</f>
        <v>0.98856409210777496</v>
      </c>
      <c r="K66" s="186"/>
      <c r="L66" s="203">
        <f>+G66*J66</f>
        <v>0</v>
      </c>
      <c r="M66" s="168"/>
    </row>
    <row r="67" spans="2:15" ht="15.75" thickBot="1">
      <c r="B67" s="170">
        <f>+B66+1</f>
        <v>23</v>
      </c>
      <c r="C67" s="233"/>
      <c r="D67" s="162" t="s">
        <v>433</v>
      </c>
      <c r="E67" s="186" t="str">
        <f>"(Worksheet A ln "&amp;'WS A - Rate Base Support'!A23&amp;"."&amp;'WS A - Rate Base Support'!G8 &amp;")"</f>
        <v>(Worksheet A ln 14.(j))</v>
      </c>
      <c r="F67" s="186"/>
      <c r="G67" s="242">
        <f>'WS A - Rate Base Support'!G23</f>
        <v>29261375.005384609</v>
      </c>
      <c r="H67" s="203"/>
      <c r="I67" s="190" t="s">
        <v>432</v>
      </c>
      <c r="J67" s="191">
        <f>L219</f>
        <v>0.98856409210777496</v>
      </c>
      <c r="K67" s="186"/>
      <c r="L67" s="242">
        <f>+J67*G67</f>
        <v>28926744.616023175</v>
      </c>
      <c r="M67" s="168"/>
      <c r="N67" s="162"/>
      <c r="O67" s="162"/>
    </row>
    <row r="68" spans="2:15" ht="15.75">
      <c r="B68" s="170">
        <f>+B67+1</f>
        <v>24</v>
      </c>
      <c r="C68" s="233"/>
      <c r="D68" s="162" t="s">
        <v>381</v>
      </c>
      <c r="E68" s="186" t="str">
        <f>"(Sum of Lines: "&amp;B63&amp;" to "&amp;B67&amp;")"</f>
        <v>(Sum of Lines: 19 to 23)</v>
      </c>
      <c r="F68" s="243"/>
      <c r="G68" s="203">
        <f>SUM(G63:G67)</f>
        <v>2940205488.6815386</v>
      </c>
      <c r="H68" s="203"/>
      <c r="I68" s="244" t="s">
        <v>761</v>
      </c>
      <c r="J68" s="245">
        <f>IF(G68=0,0,L68/G68)</f>
        <v>0.98856409210777496</v>
      </c>
      <c r="K68" s="186"/>
      <c r="L68" s="203">
        <f>SUM(L63:L67)</f>
        <v>2906581569.5287619</v>
      </c>
      <c r="M68" s="168"/>
      <c r="N68" s="162"/>
      <c r="O68" s="162"/>
    </row>
    <row r="69" spans="2:15" ht="15.75">
      <c r="B69" s="170"/>
      <c r="C69" s="171"/>
      <c r="D69" s="162"/>
      <c r="E69" s="1227"/>
      <c r="F69" s="243"/>
      <c r="G69" s="203"/>
      <c r="H69" s="203"/>
      <c r="I69" s="244" t="s">
        <v>508</v>
      </c>
      <c r="J69" s="246">
        <f>+IF(L63=0,0,L63/(G63))</f>
        <v>0.98856409210777496</v>
      </c>
      <c r="K69" s="186"/>
      <c r="L69" s="203"/>
      <c r="M69" s="168"/>
      <c r="N69" s="247"/>
      <c r="O69" s="162"/>
    </row>
    <row r="70" spans="2:15">
      <c r="B70" s="170">
        <f>+B68+1</f>
        <v>25</v>
      </c>
      <c r="C70" s="171"/>
      <c r="D70" s="162" t="s">
        <v>363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195558361.62307692</v>
      </c>
      <c r="H71" s="203"/>
      <c r="I71" s="1471" t="s">
        <v>430</v>
      </c>
      <c r="J71" s="1472">
        <f>IF(G71=0,1,L71/G71)</f>
        <v>0.9416710444297316</v>
      </c>
      <c r="K71" s="237"/>
      <c r="L71" s="203">
        <f>'WS A - Rate Base Support'!C64</f>
        <v>184151646.63656998</v>
      </c>
      <c r="M71" s="239"/>
      <c r="N71" s="168"/>
      <c r="O71" s="168"/>
    </row>
    <row r="72" spans="2:15" ht="15.75">
      <c r="B72" s="170">
        <f t="shared" si="0"/>
        <v>27</v>
      </c>
      <c r="C72" s="233"/>
      <c r="D72" s="241" t="s">
        <v>181</v>
      </c>
      <c r="E72" s="186" t="str">
        <f>"(Worksheet A ln "&amp;'WS A - Rate Base Support'!A42&amp;"."&amp;'WS A - Rate Base Support'!D27 &amp;")"</f>
        <v>(Worksheet A ln 28.(e))</v>
      </c>
      <c r="F72" s="235"/>
      <c r="G72" s="203">
        <f>'WS A - Rate Base Support'!D42</f>
        <v>0</v>
      </c>
      <c r="H72" s="203"/>
      <c r="I72" s="1471" t="s">
        <v>422</v>
      </c>
      <c r="J72" s="1473">
        <f>IF(I72="TP",L209,L71/G71)</f>
        <v>0.98856409210777496</v>
      </c>
      <c r="K72" s="237"/>
      <c r="L72" s="203">
        <f>+J72*G72</f>
        <v>0</v>
      </c>
      <c r="M72" s="239"/>
      <c r="N72" s="168"/>
      <c r="O72" s="168"/>
    </row>
    <row r="73" spans="2:15">
      <c r="B73" s="170">
        <f t="shared" si="0"/>
        <v>28</v>
      </c>
      <c r="C73" s="251"/>
      <c r="D73" s="205" t="str">
        <f>+D65</f>
        <v xml:space="preserve">  General Plant   </v>
      </c>
      <c r="E73" s="186" t="str">
        <f>"(Worksheet A ln "&amp;'WS A - Rate Base Support'!A42&amp;"."&amp;'WS A - Rate Base Support'!E27 &amp;")"</f>
        <v>(Worksheet A ln 28.(h))</v>
      </c>
      <c r="F73" s="186"/>
      <c r="G73" s="189">
        <f>'WS A - Rate Base Support'!E42</f>
        <v>1880785.6761538459</v>
      </c>
      <c r="H73" s="203"/>
      <c r="I73" s="190" t="s">
        <v>432</v>
      </c>
      <c r="J73" s="191">
        <f>L219</f>
        <v>0.98856409210777496</v>
      </c>
      <c r="K73" s="186"/>
      <c r="L73" s="203">
        <f>+J73*G73</f>
        <v>1859277.1843963342</v>
      </c>
      <c r="M73" s="168"/>
      <c r="N73" s="168"/>
      <c r="O73" s="168"/>
    </row>
    <row r="74" spans="2:15">
      <c r="B74" s="170">
        <f t="shared" si="0"/>
        <v>29</v>
      </c>
      <c r="C74" s="251"/>
      <c r="D74" s="241" t="s">
        <v>180</v>
      </c>
      <c r="E74" s="186" t="str">
        <f>"(Worksheet A ln "&amp;'WS A - Rate Base Support'!A42&amp;"."&amp;'WS A - Rate Base Support'!F27 &amp;")"</f>
        <v>(Worksheet A ln 28.(i))</v>
      </c>
      <c r="F74" s="186"/>
      <c r="G74" s="203">
        <f>'WS A - Rate Base Support'!F42</f>
        <v>0</v>
      </c>
      <c r="H74" s="203"/>
      <c r="I74" s="190" t="s">
        <v>432</v>
      </c>
      <c r="J74" s="191">
        <f>L219</f>
        <v>0.98856409210777496</v>
      </c>
      <c r="K74" s="186"/>
      <c r="L74" s="203">
        <f>+J74*G74</f>
        <v>0</v>
      </c>
      <c r="M74" s="168"/>
      <c r="N74" s="168"/>
      <c r="O74" s="168"/>
    </row>
    <row r="75" spans="2:15" ht="15.75" thickBot="1">
      <c r="B75" s="170">
        <f t="shared" si="0"/>
        <v>30</v>
      </c>
      <c r="C75" s="251"/>
      <c r="D75" s="205" t="str">
        <f>+D67</f>
        <v xml:space="preserve">  Intangible Plant</v>
      </c>
      <c r="E75" s="186" t="str">
        <f>"(Worksheet A ln "&amp;'WS A - Rate Base Support'!A42&amp;"."&amp;'WS A - Rate Base Support'!G27 &amp;")"</f>
        <v>(Worksheet A ln 28.(j))</v>
      </c>
      <c r="F75" s="186"/>
      <c r="G75" s="242">
        <f>'WS A - Rate Base Support'!G42</f>
        <v>10787255.991538463</v>
      </c>
      <c r="H75" s="203"/>
      <c r="I75" s="190" t="s">
        <v>432</v>
      </c>
      <c r="J75" s="191">
        <f>L219</f>
        <v>0.98856409210777496</v>
      </c>
      <c r="K75" s="186"/>
      <c r="L75" s="1150">
        <f>+J75*G75</f>
        <v>10663893.925609376</v>
      </c>
      <c r="M75" s="186"/>
      <c r="N75" s="168"/>
      <c r="O75" s="168"/>
    </row>
    <row r="76" spans="2:15">
      <c r="B76" s="170">
        <f t="shared" si="0"/>
        <v>31</v>
      </c>
      <c r="C76" s="251"/>
      <c r="D76" s="205" t="s">
        <v>380</v>
      </c>
      <c r="E76" s="186" t="str">
        <f>"(Sum of Lines: "&amp;B71&amp;" to "&amp;B75&amp;")"</f>
        <v>(Sum of Lines: 26 to 30)</v>
      </c>
      <c r="F76" s="252"/>
      <c r="G76" s="203">
        <f>SUM(G71:G75)</f>
        <v>208226403.29076922</v>
      </c>
      <c r="H76" s="203"/>
      <c r="I76" s="190"/>
      <c r="J76" s="186"/>
      <c r="K76" s="203"/>
      <c r="L76" s="203">
        <f>SUM(L71:L75)</f>
        <v>196674817.74657568</v>
      </c>
      <c r="M76" s="168"/>
      <c r="N76" s="168"/>
      <c r="O76" s="168"/>
    </row>
    <row r="77" spans="2:15">
      <c r="B77" s="170"/>
      <c r="C77" s="171"/>
      <c r="E77" s="253"/>
      <c r="F77" s="252"/>
      <c r="G77" s="203"/>
      <c r="H77" s="203"/>
      <c r="I77" s="190"/>
      <c r="J77" s="254"/>
      <c r="K77" s="186"/>
      <c r="L77" s="203"/>
      <c r="M77" s="168"/>
      <c r="N77" s="168"/>
      <c r="O77" s="168"/>
    </row>
    <row r="78" spans="2:15">
      <c r="B78" s="170">
        <f>+B76+1</f>
        <v>32</v>
      </c>
      <c r="C78" s="171"/>
      <c r="D78" s="162" t="s">
        <v>384</v>
      </c>
      <c r="E78" s="231"/>
      <c r="F78" s="231"/>
      <c r="G78" s="203"/>
      <c r="H78" s="203"/>
      <c r="I78" s="190"/>
      <c r="J78" s="186"/>
      <c r="K78" s="186"/>
      <c r="L78" s="203"/>
      <c r="M78" s="168"/>
      <c r="N78" s="168"/>
      <c r="O78" s="168"/>
    </row>
    <row r="79" spans="2:15">
      <c r="B79" s="255">
        <f>+B78+1</f>
        <v>33</v>
      </c>
      <c r="C79" s="233"/>
      <c r="D79" s="241" t="str">
        <f>+D71</f>
        <v xml:space="preserve">  Transmission</v>
      </c>
      <c r="E79" s="186" t="str">
        <f>" (ln "&amp;B63&amp;" + ln "&amp;B64&amp;" - ln "&amp;B71&amp;" - ln "&amp;B72&amp;")"</f>
        <v xml:space="preserve"> (ln 19 + ln 20 - ln 26 - ln 27)</v>
      </c>
      <c r="F79" s="186"/>
      <c r="G79" s="203">
        <f>+G63+G64-G71-G72</f>
        <v>2660622534.4276924</v>
      </c>
      <c r="H79" s="203"/>
      <c r="I79" s="190"/>
      <c r="J79" s="250"/>
      <c r="K79" s="186"/>
      <c r="L79" s="203">
        <f>+L63+L64-L71-L72</f>
        <v>2639366227.7634301</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52882431.949230768</v>
      </c>
      <c r="H80" s="203"/>
      <c r="I80" s="190"/>
      <c r="J80" s="254"/>
      <c r="K80" s="186"/>
      <c r="L80" s="203">
        <f>+L65+L66-L73-L74</f>
        <v>52277673.328342505</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18474119.013846144</v>
      </c>
      <c r="H81" s="203"/>
      <c r="I81" s="190"/>
      <c r="J81" s="254"/>
      <c r="K81" s="186"/>
      <c r="L81" s="242">
        <f>+L67-L75</f>
        <v>18262850.690413799</v>
      </c>
      <c r="M81" s="168"/>
      <c r="N81" s="168"/>
      <c r="O81" s="168"/>
    </row>
    <row r="82" spans="2:15" ht="15.75">
      <c r="B82" s="170">
        <f>+B81+1</f>
        <v>36</v>
      </c>
      <c r="C82" s="233"/>
      <c r="D82" s="241" t="s">
        <v>379</v>
      </c>
      <c r="E82" s="186" t="str">
        <f>"(Sum of Lines: "&amp;B79&amp;" to "&amp;B81&amp;")"</f>
        <v>(Sum of Lines: 33 to 35)</v>
      </c>
      <c r="F82" s="186"/>
      <c r="G82" s="203">
        <f>SUM(G79:G81)</f>
        <v>2731979085.390769</v>
      </c>
      <c r="H82" s="203"/>
      <c r="I82" s="258" t="s">
        <v>762</v>
      </c>
      <c r="J82" s="245">
        <f>IF(G82=0,0,+L82/G82)</f>
        <v>0.99192075308093897</v>
      </c>
      <c r="K82" s="186"/>
      <c r="L82" s="203">
        <f>SUM(L79:L81)</f>
        <v>2709906751.7821865</v>
      </c>
      <c r="M82" s="168"/>
      <c r="N82" s="168"/>
      <c r="O82" s="168"/>
    </row>
    <row r="83" spans="2:15">
      <c r="B83" s="170"/>
      <c r="C83" s="171"/>
      <c r="D83" s="162"/>
      <c r="E83" s="186"/>
      <c r="F83" s="186"/>
      <c r="G83" s="203"/>
      <c r="H83" s="203"/>
      <c r="I83" s="160"/>
      <c r="J83" s="259"/>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131</v>
      </c>
      <c r="E85" s="186" t="s">
        <v>108</v>
      </c>
      <c r="F85" s="190"/>
      <c r="G85" s="209"/>
      <c r="H85" s="209"/>
      <c r="I85" s="209"/>
      <c r="J85" s="209"/>
      <c r="K85" s="209"/>
      <c r="L85" s="209"/>
      <c r="M85" s="173"/>
      <c r="N85" s="168"/>
      <c r="O85" s="168"/>
    </row>
    <row r="86" spans="2:15">
      <c r="B86" s="170">
        <f t="shared" ref="B86:B91" si="1">+B85+1</f>
        <v>38</v>
      </c>
      <c r="C86" s="233"/>
      <c r="D86" s="240" t="s">
        <v>485</v>
      </c>
      <c r="E86" s="186" t="str">
        <f>"(Worksheet B, ln "&amp;'WS B ADIT &amp; ITC'!A17&amp;" &amp; ln "&amp;'WS B ADIT &amp; ITC'!A20&amp;".E)"</f>
        <v>(Worksheet B, ln 2 &amp; ln 5.E)</v>
      </c>
      <c r="F86" s="186"/>
      <c r="G86" s="203">
        <f>'WS B ADIT &amp; ITC'!I17</f>
        <v>0</v>
      </c>
      <c r="H86" s="203"/>
      <c r="I86" s="190" t="s">
        <v>428</v>
      </c>
      <c r="J86" s="191"/>
      <c r="K86" s="186"/>
      <c r="L86" s="203">
        <f>'WS B ADIT &amp; ITC'!I20</f>
        <v>0</v>
      </c>
      <c r="M86" s="168"/>
      <c r="N86" s="168"/>
      <c r="O86" s="168"/>
    </row>
    <row r="87" spans="2:15">
      <c r="B87" s="170">
        <f t="shared" si="1"/>
        <v>39</v>
      </c>
      <c r="C87" s="233"/>
      <c r="D87" s="240" t="s">
        <v>486</v>
      </c>
      <c r="E87" s="186" t="str">
        <f>"(Worksheet B, ln "&amp;'WS B ADIT &amp; ITC'!A25&amp;" &amp; ln "&amp;'WS B ADIT &amp; ITC'!A28&amp;".E)"</f>
        <v>(Worksheet B, ln 7 &amp; ln 10.E)</v>
      </c>
      <c r="F87" s="186"/>
      <c r="G87" s="203">
        <f>-'WS B ADIT &amp; ITC'!I25</f>
        <v>-338844453.315</v>
      </c>
      <c r="H87" s="203"/>
      <c r="I87" s="190" t="s">
        <v>430</v>
      </c>
      <c r="J87" s="191"/>
      <c r="K87" s="186"/>
      <c r="L87" s="203">
        <f>-'WS B ADIT &amp; ITC'!I28</f>
        <v>-266707870.4934718</v>
      </c>
      <c r="M87" s="168"/>
      <c r="N87" s="168"/>
      <c r="O87" s="168"/>
    </row>
    <row r="88" spans="2:15">
      <c r="B88" s="170">
        <f t="shared" si="1"/>
        <v>40</v>
      </c>
      <c r="C88" s="233"/>
      <c r="D88" s="240" t="s">
        <v>487</v>
      </c>
      <c r="E88" s="186" t="str">
        <f>"(Worksheet B, ln "&amp;'WS B ADIT &amp; ITC'!A33&amp;" &amp; ln "&amp;'WS B ADIT &amp; ITC'!A36&amp;".E)"</f>
        <v>(Worksheet B, ln 12 &amp; ln 15.E)</v>
      </c>
      <c r="F88" s="186"/>
      <c r="G88" s="203">
        <f>-'WS B ADIT &amp; ITC'!I33</f>
        <v>-33088699.670000002</v>
      </c>
      <c r="H88" s="203"/>
      <c r="I88" s="190" t="s">
        <v>430</v>
      </c>
      <c r="J88" s="191"/>
      <c r="K88" s="186"/>
      <c r="L88" s="203">
        <f>-'WS B ADIT &amp; ITC'!I36</f>
        <v>-34307858.170000002</v>
      </c>
      <c r="M88" s="168"/>
      <c r="N88" s="168"/>
      <c r="O88" s="168"/>
    </row>
    <row r="89" spans="2:15">
      <c r="B89" s="170">
        <f t="shared" si="1"/>
        <v>41</v>
      </c>
      <c r="C89" s="233"/>
      <c r="D89" s="240" t="s">
        <v>488</v>
      </c>
      <c r="E89" s="186" t="str">
        <f>"(Worksheet B, ln "&amp;'WS B ADIT &amp; ITC'!A41&amp;" &amp; ln "&amp;'WS B ADIT &amp; ITC'!A44&amp;".E)"</f>
        <v>(Worksheet B, ln 17 &amp; ln 20.E)</v>
      </c>
      <c r="F89" s="186"/>
      <c r="G89" s="203">
        <f>'WS B ADIT &amp; ITC'!I41</f>
        <v>11252908.240000002</v>
      </c>
      <c r="H89" s="203"/>
      <c r="I89" s="190" t="s">
        <v>430</v>
      </c>
      <c r="J89" s="191"/>
      <c r="K89" s="186"/>
      <c r="L89" s="203">
        <f>'WS B ADIT &amp; ITC'!I44</f>
        <v>107735294.34981382</v>
      </c>
      <c r="M89" s="168"/>
      <c r="N89" s="168"/>
      <c r="O89" s="168"/>
    </row>
    <row r="90" spans="2:15" ht="15.75" thickBot="1">
      <c r="B90" s="170">
        <f t="shared" si="1"/>
        <v>42</v>
      </c>
      <c r="C90" s="233"/>
      <c r="D90" s="260" t="s">
        <v>434</v>
      </c>
      <c r="E90" s="186" t="str">
        <f>"(Worksheet B, ln "&amp;'WS B ADIT &amp; ITC'!A51&amp;" &amp; ln "&amp;'WS B ADIT &amp; ITC'!A52&amp;".E)"</f>
        <v>(Worksheet B, ln 24 &amp; ln 25.E)</v>
      </c>
      <c r="F90" s="160"/>
      <c r="G90" s="242">
        <f>-'WS B ADIT &amp; ITC'!I51</f>
        <v>0</v>
      </c>
      <c r="H90" s="203"/>
      <c r="I90" s="190" t="s">
        <v>430</v>
      </c>
      <c r="J90" s="191"/>
      <c r="K90" s="186"/>
      <c r="L90" s="242">
        <f>-'WS B ADIT &amp; ITC'!I52</f>
        <v>0</v>
      </c>
      <c r="M90" s="261"/>
      <c r="N90" s="168"/>
      <c r="O90" s="168"/>
    </row>
    <row r="91" spans="2:15">
      <c r="B91" s="170">
        <f t="shared" si="1"/>
        <v>43</v>
      </c>
      <c r="C91" s="233"/>
      <c r="D91" s="241" t="s">
        <v>393</v>
      </c>
      <c r="E91" s="241" t="str">
        <f>"(sum lns "&amp;B86&amp;" to "&amp;B90&amp;")"</f>
        <v>(sum lns 38 to 42)</v>
      </c>
      <c r="F91" s="186"/>
      <c r="G91" s="203">
        <f>SUM(G86:G90)</f>
        <v>-360680244.745</v>
      </c>
      <c r="H91" s="262"/>
      <c r="I91" s="190"/>
      <c r="J91" s="210"/>
      <c r="K91" s="186"/>
      <c r="L91" s="203">
        <f>SUM(L86:L90)</f>
        <v>-193280434.313658</v>
      </c>
      <c r="M91" s="168"/>
      <c r="N91" s="263"/>
    </row>
    <row r="92" spans="2:15">
      <c r="B92" s="170"/>
      <c r="C92" s="171"/>
      <c r="D92" s="241"/>
      <c r="E92" s="186"/>
      <c r="F92" s="186"/>
      <c r="G92" s="203"/>
      <c r="H92" s="262"/>
      <c r="I92" s="190"/>
      <c r="J92" s="254"/>
      <c r="K92" s="186"/>
      <c r="L92" s="203"/>
      <c r="M92" s="168"/>
    </row>
    <row r="93" spans="2:15">
      <c r="B93" s="170">
        <f>+B91+1</f>
        <v>44</v>
      </c>
      <c r="C93" s="171"/>
      <c r="D93" s="241" t="s">
        <v>497</v>
      </c>
      <c r="E93" s="186" t="str">
        <f>"(Worksheet A ln "&amp;'WS A - Rate Base Support'!A69&amp;"."&amp;'WS A - Rate Base Support'!F68 &amp;")"&amp;" ln "&amp;'WS A - Rate Base Support'!A71&amp;"."&amp;'WS A - Rate Base Support'!F68 &amp;")"</f>
        <v>(Worksheet A ln 44.(e)) ln 45.(e))</v>
      </c>
      <c r="F93" s="186"/>
      <c r="G93" s="203">
        <f>'WS A - Rate Base Support'!F69</f>
        <v>0</v>
      </c>
      <c r="H93" s="262"/>
      <c r="I93" s="190" t="s">
        <v>430</v>
      </c>
      <c r="J93" s="191"/>
      <c r="K93" s="186"/>
      <c r="L93" s="203">
        <f>'WS A - Rate Base Support'!F71</f>
        <v>0</v>
      </c>
      <c r="M93" s="168"/>
    </row>
    <row r="94" spans="2:15">
      <c r="B94" s="170"/>
      <c r="C94" s="171"/>
      <c r="D94" s="241"/>
      <c r="E94" s="186"/>
      <c r="F94" s="186"/>
      <c r="G94" s="203"/>
      <c r="H94" s="262"/>
      <c r="I94" s="190"/>
      <c r="J94" s="191"/>
      <c r="K94" s="186"/>
      <c r="L94" s="203"/>
      <c r="M94" s="168"/>
    </row>
    <row r="95" spans="2:15">
      <c r="B95" s="170">
        <f>+B93+1</f>
        <v>45</v>
      </c>
      <c r="C95" s="194"/>
      <c r="D95" s="240" t="s">
        <v>132</v>
      </c>
      <c r="E95" s="186" t="str">
        <f>"(Worksheet A ln "&amp;'WS A - Rate Base Support'!A80&amp;"."&amp;'WS A - Rate Base Support'!F68 &amp;")"</f>
        <v>(Worksheet A ln 51.(e))</v>
      </c>
      <c r="F95" s="186"/>
      <c r="G95" s="203">
        <f>'WS A - Rate Base Support'!F80</f>
        <v>0</v>
      </c>
      <c r="H95" s="262"/>
      <c r="I95" s="190" t="s">
        <v>430</v>
      </c>
      <c r="J95" s="186"/>
      <c r="K95" s="186"/>
      <c r="L95" s="203">
        <f>+G95</f>
        <v>0</v>
      </c>
      <c r="M95" s="186"/>
      <c r="N95" s="160"/>
    </row>
    <row r="96" spans="2:15">
      <c r="B96" s="170"/>
      <c r="C96" s="194"/>
      <c r="D96" s="240"/>
      <c r="E96" s="186"/>
      <c r="F96" s="186"/>
      <c r="G96" s="203"/>
      <c r="H96" s="262"/>
      <c r="I96" s="190"/>
      <c r="J96" s="186"/>
      <c r="K96" s="186"/>
      <c r="L96" s="203"/>
      <c r="M96" s="186"/>
      <c r="N96" s="160"/>
    </row>
    <row r="97" spans="2:14">
      <c r="B97" s="193">
        <f>B95+1</f>
        <v>46</v>
      </c>
      <c r="C97" s="251"/>
      <c r="D97" s="320" t="s">
        <v>637</v>
      </c>
      <c r="E97" s="186" t="s">
        <v>638</v>
      </c>
      <c r="F97" s="186"/>
      <c r="G97" s="203">
        <f>'WS A - Rate Base Support'!F87</f>
        <v>0</v>
      </c>
      <c r="H97" s="203"/>
      <c r="I97" s="190" t="s">
        <v>432</v>
      </c>
      <c r="J97" s="191">
        <f>L219</f>
        <v>0.98856409210777496</v>
      </c>
      <c r="K97" s="186"/>
      <c r="L97" s="256">
        <f>+J97*G97</f>
        <v>0</v>
      </c>
      <c r="M97" s="186"/>
      <c r="N97" s="160"/>
    </row>
    <row r="98" spans="2:14">
      <c r="B98" s="170"/>
      <c r="C98" s="171"/>
      <c r="D98" s="241"/>
      <c r="E98" s="186"/>
      <c r="F98" s="186"/>
      <c r="G98" s="203"/>
      <c r="H98" s="262"/>
      <c r="I98" s="190"/>
      <c r="J98" s="186"/>
      <c r="K98" s="186"/>
      <c r="L98" s="203"/>
      <c r="M98" s="168"/>
    </row>
    <row r="99" spans="2:14">
      <c r="B99" s="170">
        <f>+B97+1</f>
        <v>47</v>
      </c>
      <c r="C99" s="171"/>
      <c r="D99" s="241" t="s">
        <v>394</v>
      </c>
      <c r="E99" s="186" t="s">
        <v>296</v>
      </c>
      <c r="F99" s="186"/>
      <c r="G99" s="203"/>
      <c r="H99" s="262"/>
      <c r="I99" s="190"/>
      <c r="J99" s="186"/>
      <c r="K99" s="186"/>
      <c r="L99" s="203"/>
      <c r="M99" s="168"/>
    </row>
    <row r="100" spans="2:14">
      <c r="B100" s="170">
        <f t="shared" ref="B100:B108" si="2">+B99+1</f>
        <v>48</v>
      </c>
      <c r="C100" s="233"/>
      <c r="D100" s="241" t="s">
        <v>496</v>
      </c>
      <c r="E100" s="160" t="str">
        <f>"(1/8 * ln "&amp;B134&amp;")"</f>
        <v>(1/8 * ln 66)</v>
      </c>
      <c r="F100" s="160"/>
      <c r="G100" s="203">
        <f>+G134/8</f>
        <v>2987897.7974999999</v>
      </c>
      <c r="H100" s="186"/>
      <c r="I100" s="190"/>
      <c r="J100" s="254"/>
      <c r="K100" s="186"/>
      <c r="L100" s="203">
        <f>+L134/8</f>
        <v>2953728.4734964077</v>
      </c>
      <c r="M100" s="165"/>
    </row>
    <row r="101" spans="2:14">
      <c r="B101" s="170">
        <f t="shared" si="2"/>
        <v>49</v>
      </c>
      <c r="C101" s="251"/>
      <c r="D101" s="241" t="s">
        <v>139</v>
      </c>
      <c r="E101" s="186" t="str">
        <f>"(Worksheet C, ln "&amp;'WS C  - Working Capital'!A17&amp;".(F))"</f>
        <v>(Worksheet C, ln 2.(F))</v>
      </c>
      <c r="F101" s="186"/>
      <c r="G101" s="203">
        <f>'WS C  - Working Capital'!I17</f>
        <v>210</v>
      </c>
      <c r="H101" s="209"/>
      <c r="I101" s="197" t="s">
        <v>422</v>
      </c>
      <c r="J101" s="191">
        <f>J134</f>
        <v>0.98856409210777496</v>
      </c>
      <c r="K101" s="168"/>
      <c r="L101" s="256">
        <f>+J101*G101</f>
        <v>207.59845934263274</v>
      </c>
      <c r="M101" s="186"/>
    </row>
    <row r="102" spans="2:14">
      <c r="B102" s="170">
        <f t="shared" si="2"/>
        <v>50</v>
      </c>
      <c r="C102" s="251"/>
      <c r="D102" s="241" t="s">
        <v>140</v>
      </c>
      <c r="E102" s="186" t="str">
        <f>"(Worksheet C, ln "&amp;'WS C  - Working Capital'!A19&amp;".(F))"</f>
        <v>(Worksheet C, ln 3.(F))</v>
      </c>
      <c r="F102" s="186"/>
      <c r="G102" s="203">
        <f>'WS C  - Working Capital'!I19</f>
        <v>0</v>
      </c>
      <c r="H102" s="209"/>
      <c r="I102" s="197" t="s">
        <v>432</v>
      </c>
      <c r="J102" s="191">
        <f>L219</f>
        <v>0.98856409210777496</v>
      </c>
      <c r="K102" s="168"/>
      <c r="L102" s="256">
        <f>+J102*G102</f>
        <v>0</v>
      </c>
      <c r="M102" s="186"/>
    </row>
    <row r="103" spans="2:14">
      <c r="B103" s="170">
        <f t="shared" si="2"/>
        <v>51</v>
      </c>
      <c r="C103" s="251"/>
      <c r="D103" s="241" t="s">
        <v>328</v>
      </c>
      <c r="E103" s="186" t="str">
        <f>"(Worksheet C, ln "&amp;'WS C  - Working Capital'!A21&amp;".(F))"</f>
        <v>(Worksheet C, ln 4.(F))</v>
      </c>
      <c r="F103" s="186"/>
      <c r="G103" s="203">
        <f>'WS C  - Working Capital'!I21</f>
        <v>0</v>
      </c>
      <c r="H103" s="209"/>
      <c r="I103" s="197" t="s">
        <v>763</v>
      </c>
      <c r="J103" s="191">
        <f>J68</f>
        <v>0.98856409210777496</v>
      </c>
      <c r="K103" s="168"/>
      <c r="L103" s="256">
        <f>+J103*G103</f>
        <v>0</v>
      </c>
      <c r="M103" s="186"/>
    </row>
    <row r="104" spans="2:14">
      <c r="B104" s="170">
        <f t="shared" si="2"/>
        <v>52</v>
      </c>
      <c r="C104" s="251"/>
      <c r="D104" s="240" t="s">
        <v>500</v>
      </c>
      <c r="E104" s="186" t="str">
        <f>"(Worksheet C, ln "&amp;'WS C  - Working Capital'!A31&amp;".(G))"</f>
        <v>(Worksheet C, ln 8.(G))</v>
      </c>
      <c r="F104" s="186"/>
      <c r="G104" s="203">
        <f>'WS C  - Working Capital'!J31</f>
        <v>0</v>
      </c>
      <c r="H104" s="262"/>
      <c r="I104" s="190" t="s">
        <v>432</v>
      </c>
      <c r="J104" s="191">
        <f>L219</f>
        <v>0.98856409210777496</v>
      </c>
      <c r="K104" s="186"/>
      <c r="L104" s="203">
        <f>+J104*G104</f>
        <v>0</v>
      </c>
      <c r="M104" s="186"/>
    </row>
    <row r="105" spans="2:14">
      <c r="B105" s="170">
        <f t="shared" si="2"/>
        <v>53</v>
      </c>
      <c r="C105" s="233"/>
      <c r="D105" s="241" t="s">
        <v>501</v>
      </c>
      <c r="E105" s="186" t="str">
        <f>"(Worksheet C, ln "&amp;'WS C  - Working Capital'!A31&amp;".(F))"</f>
        <v>(Worksheet C, ln 8.(F))</v>
      </c>
      <c r="F105" s="186"/>
      <c r="G105" s="203">
        <f>'WS C  - Working Capital'!I31</f>
        <v>588273</v>
      </c>
      <c r="H105" s="262"/>
      <c r="I105" s="190" t="s">
        <v>763</v>
      </c>
      <c r="J105" s="191">
        <f>J68</f>
        <v>0.98856409210777496</v>
      </c>
      <c r="K105" s="186"/>
      <c r="L105" s="203">
        <f>+G105*J105</f>
        <v>581545.56415651715</v>
      </c>
      <c r="M105" s="186"/>
    </row>
    <row r="106" spans="2:14">
      <c r="B106" s="170">
        <f t="shared" si="2"/>
        <v>54</v>
      </c>
      <c r="C106" s="233"/>
      <c r="D106" s="241" t="s">
        <v>111</v>
      </c>
      <c r="E106" s="186" t="str">
        <f>"(Worksheet C, ln "&amp;'WS C  - Working Capital'!A31&amp;".(E))"</f>
        <v>(Worksheet C, ln 8.(E))</v>
      </c>
      <c r="F106" s="186"/>
      <c r="G106" s="203">
        <f>'WS C  - Working Capital'!G31</f>
        <v>0</v>
      </c>
      <c r="H106" s="262"/>
      <c r="I106" s="190" t="s">
        <v>430</v>
      </c>
      <c r="J106" s="191">
        <v>1</v>
      </c>
      <c r="K106" s="186"/>
      <c r="L106" s="203">
        <f>+G106</f>
        <v>0</v>
      </c>
      <c r="M106" s="186"/>
    </row>
    <row r="107" spans="2:14" ht="15.75" thickBot="1">
      <c r="B107" s="170">
        <f t="shared" si="2"/>
        <v>55</v>
      </c>
      <c r="C107" s="233"/>
      <c r="D107" s="241" t="s">
        <v>406</v>
      </c>
      <c r="E107" s="186" t="str">
        <f>"(Worksheet C, ln "&amp;'WS C  - Working Capital'!A31&amp;".(D))"</f>
        <v>(Worksheet C, ln 8.(D))</v>
      </c>
      <c r="F107" s="186"/>
      <c r="G107" s="242">
        <f>'WS C  - Working Capital'!E31</f>
        <v>0</v>
      </c>
      <c r="H107" s="203"/>
      <c r="I107" s="190" t="s">
        <v>428</v>
      </c>
      <c r="J107" s="191">
        <v>0</v>
      </c>
      <c r="K107" s="186"/>
      <c r="L107" s="242">
        <f>+G107*J107</f>
        <v>0</v>
      </c>
      <c r="M107" s="186"/>
    </row>
    <row r="108" spans="2:14">
      <c r="B108" s="170">
        <f t="shared" si="2"/>
        <v>56</v>
      </c>
      <c r="C108" s="233"/>
      <c r="D108" s="241" t="s">
        <v>378</v>
      </c>
      <c r="E108" s="241" t="str">
        <f>"(sum lns "&amp;B100&amp;" to "&amp;B107&amp;")"</f>
        <v>(sum lns 48 to 55)</v>
      </c>
      <c r="F108" s="181"/>
      <c r="G108" s="203">
        <f>SUM(G100:G107)</f>
        <v>3576380.7974999999</v>
      </c>
      <c r="H108" s="181"/>
      <c r="I108" s="194"/>
      <c r="J108" s="181"/>
      <c r="K108" s="181"/>
      <c r="L108" s="203">
        <f>SUM(L100:L107)</f>
        <v>3535481.6361122672</v>
      </c>
      <c r="M108" s="165"/>
    </row>
    <row r="109" spans="2:14">
      <c r="B109" s="170"/>
      <c r="C109" s="171"/>
      <c r="D109" s="241"/>
      <c r="E109" s="165"/>
      <c r="F109" s="165"/>
      <c r="G109" s="256"/>
      <c r="H109" s="165"/>
      <c r="I109" s="171"/>
      <c r="J109" s="165"/>
      <c r="K109" s="165"/>
      <c r="L109" s="256"/>
      <c r="M109" s="165"/>
    </row>
    <row r="110" spans="2:14">
      <c r="B110" s="170">
        <f>+B108+1</f>
        <v>57</v>
      </c>
      <c r="C110" s="171"/>
      <c r="D110" s="240" t="s">
        <v>366</v>
      </c>
      <c r="E110" s="162" t="str">
        <f>"(Note F) (Worksheet D, ln "&amp;'WS D IPP Credits'!A23&amp;".B)"</f>
        <v>(Note F) (Worksheet D, ln 8.B)</v>
      </c>
      <c r="F110" s="165"/>
      <c r="G110" s="256">
        <f>+'WS D IPP Credits'!C23</f>
        <v>0</v>
      </c>
      <c r="H110" s="165"/>
      <c r="I110" s="264" t="s">
        <v>430</v>
      </c>
      <c r="J110" s="191">
        <v>1</v>
      </c>
      <c r="K110" s="168"/>
      <c r="L110" s="256">
        <f>+J110*G110</f>
        <v>0</v>
      </c>
      <c r="M110" s="165"/>
    </row>
    <row r="111" spans="2:14" ht="15.75" thickBot="1">
      <c r="B111" s="170"/>
      <c r="D111" s="260"/>
      <c r="E111" s="168"/>
      <c r="F111" s="168"/>
      <c r="G111" s="265"/>
      <c r="H111" s="168"/>
      <c r="I111" s="197"/>
      <c r="J111" s="168"/>
      <c r="K111" s="168"/>
      <c r="L111" s="265"/>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6">
        <f>+G108+G93+G91+G82+G110+G95+G97</f>
        <v>2374875221.4432688</v>
      </c>
      <c r="H112" s="168"/>
      <c r="I112" s="168"/>
      <c r="J112" s="267"/>
      <c r="K112" s="168"/>
      <c r="L112" s="266">
        <f>+L108+L93+L91+L82+L110+L95+L97</f>
        <v>2520161799.104641</v>
      </c>
      <c r="M112" s="168"/>
    </row>
    <row r="113" spans="2:15" ht="16.5" thickTop="1">
      <c r="B113" s="170"/>
      <c r="C113" s="209"/>
      <c r="D113" s="209"/>
      <c r="E113" s="209"/>
      <c r="F113" s="209"/>
      <c r="G113" s="209"/>
      <c r="H113" s="209"/>
      <c r="I113" s="159"/>
      <c r="J113" s="159"/>
      <c r="K113" s="159"/>
      <c r="L113" s="160"/>
    </row>
    <row r="114" spans="2:15">
      <c r="B114" s="268"/>
      <c r="C114" s="171"/>
      <c r="D114" s="162"/>
      <c r="E114" s="168"/>
      <c r="F114" s="168"/>
      <c r="G114" s="168"/>
      <c r="H114" s="168"/>
      <c r="I114" s="168"/>
      <c r="J114" s="168"/>
      <c r="K114" s="168"/>
      <c r="L114" s="168"/>
      <c r="M114" s="168"/>
    </row>
    <row r="115" spans="2:15">
      <c r="B115" s="268"/>
      <c r="C115" s="171"/>
      <c r="D115" s="162"/>
      <c r="E115" s="168"/>
      <c r="F115" s="197" t="str">
        <f>F51</f>
        <v>AEPTCo subsidiaries in PJM</v>
      </c>
      <c r="G115" s="197"/>
      <c r="H115" s="168"/>
      <c r="I115" s="168"/>
      <c r="J115" s="168"/>
      <c r="K115" s="168"/>
      <c r="L115" s="168"/>
      <c r="M115" s="269"/>
    </row>
    <row r="116" spans="2:15">
      <c r="B116" s="268"/>
      <c r="C116" s="171"/>
      <c r="D116" s="162"/>
      <c r="E116" s="168"/>
      <c r="F116" s="197" t="str">
        <f>F52</f>
        <v>Transmission Cost of Service Formula Rate</v>
      </c>
      <c r="G116" s="197"/>
      <c r="H116" s="168"/>
      <c r="I116" s="168"/>
      <c r="J116" s="168"/>
      <c r="K116" s="168"/>
      <c r="L116" s="168"/>
      <c r="M116" s="269"/>
    </row>
    <row r="117" spans="2:15">
      <c r="B117" s="268"/>
      <c r="C117" s="171"/>
      <c r="E117" s="168"/>
      <c r="F117" s="197" t="str">
        <f>F53</f>
        <v>Utilizing  Actual/Projected FERC Form 1 Data</v>
      </c>
      <c r="G117" s="168"/>
      <c r="H117" s="168"/>
      <c r="I117" s="168"/>
      <c r="J117" s="168"/>
      <c r="K117" s="168"/>
      <c r="L117" s="168"/>
      <c r="M117" s="219"/>
    </row>
    <row r="118" spans="2:15">
      <c r="B118" s="268"/>
      <c r="C118" s="171"/>
      <c r="E118" s="168"/>
      <c r="F118" s="197"/>
      <c r="G118" s="168"/>
      <c r="H118" s="168"/>
      <c r="I118" s="168"/>
      <c r="J118" s="168"/>
      <c r="K118" s="168"/>
      <c r="L118" s="168"/>
      <c r="M118" s="168"/>
    </row>
    <row r="119" spans="2:15">
      <c r="B119" s="268"/>
      <c r="C119" s="171"/>
      <c r="E119" s="270"/>
      <c r="F119" s="197" t="str">
        <f>F55</f>
        <v>AEP Indiana Michigan Transmission Company</v>
      </c>
      <c r="G119" s="270"/>
      <c r="H119" s="271"/>
      <c r="I119" s="270"/>
      <c r="J119" s="270"/>
      <c r="K119" s="270"/>
      <c r="M119" s="168"/>
    </row>
    <row r="120" spans="2:15">
      <c r="B120" s="268"/>
      <c r="C120" s="171"/>
      <c r="E120" s="270"/>
      <c r="F120" s="197"/>
      <c r="G120" s="270"/>
      <c r="H120" s="271"/>
      <c r="I120" s="270"/>
      <c r="J120" s="270"/>
      <c r="K120" s="270"/>
      <c r="M120" s="168"/>
    </row>
    <row r="121" spans="2:15">
      <c r="B121" s="268"/>
      <c r="D121" s="171" t="s">
        <v>423</v>
      </c>
      <c r="E121" s="171" t="s">
        <v>424</v>
      </c>
      <c r="F121" s="171"/>
      <c r="G121" s="171" t="s">
        <v>425</v>
      </c>
      <c r="H121" s="186"/>
      <c r="I121" s="1495" t="s">
        <v>426</v>
      </c>
      <c r="J121" s="1499"/>
      <c r="K121" s="168"/>
      <c r="L121" s="172" t="s">
        <v>427</v>
      </c>
      <c r="M121" s="168"/>
      <c r="N121" s="172"/>
    </row>
    <row r="122" spans="2:15" ht="15.75">
      <c r="B122" s="268"/>
      <c r="D122" s="171"/>
      <c r="E122" s="171"/>
      <c r="F122" s="171"/>
      <c r="G122" s="171"/>
      <c r="H122" s="186"/>
      <c r="I122" s="168"/>
      <c r="J122" s="221"/>
      <c r="K122" s="168"/>
      <c r="M122" s="168"/>
      <c r="N122" s="273"/>
      <c r="O122" s="274"/>
    </row>
    <row r="123" spans="2:15" ht="15.75">
      <c r="B123" s="268"/>
      <c r="C123" s="171"/>
      <c r="D123" s="273" t="s">
        <v>402</v>
      </c>
      <c r="E123" s="223" t="str">
        <f>E59</f>
        <v>Data Sources</v>
      </c>
      <c r="F123" s="224"/>
      <c r="G123" s="168"/>
      <c r="H123" s="186"/>
      <c r="I123" s="168"/>
      <c r="J123" s="171"/>
      <c r="K123" s="168"/>
      <c r="L123" s="223" t="str">
        <f>L59</f>
        <v>Total</v>
      </c>
      <c r="N123" s="273"/>
      <c r="O123" s="274"/>
    </row>
    <row r="124" spans="2:15" ht="15.75">
      <c r="B124" s="268"/>
      <c r="C124" s="178"/>
      <c r="D124" s="226" t="s">
        <v>403</v>
      </c>
      <c r="E124" s="275" t="str">
        <f>E60</f>
        <v>(See "General Notes")</v>
      </c>
      <c r="F124" s="168"/>
      <c r="G124" s="275" t="str">
        <f>G60</f>
        <v>TO Total</v>
      </c>
      <c r="H124" s="276"/>
      <c r="I124" s="1497" t="str">
        <f>I60</f>
        <v>Allocator</v>
      </c>
      <c r="J124" s="1498"/>
      <c r="K124" s="228"/>
      <c r="L124" s="275" t="str">
        <f>L60</f>
        <v>Transmission</v>
      </c>
      <c r="M124" s="168"/>
      <c r="N124" s="273"/>
      <c r="O124" s="274"/>
    </row>
    <row r="125" spans="2:15" ht="15.75">
      <c r="B125" s="170" t="str">
        <f>B61</f>
        <v>Line</v>
      </c>
      <c r="D125" s="162"/>
      <c r="E125" s="168"/>
      <c r="F125" s="168"/>
      <c r="G125" s="226"/>
      <c r="H125" s="277"/>
      <c r="I125" s="273"/>
      <c r="K125" s="278"/>
      <c r="L125" s="226"/>
      <c r="M125" s="168"/>
    </row>
    <row r="126" spans="2:15">
      <c r="B126" s="170" t="str">
        <f>B62</f>
        <v>No.</v>
      </c>
      <c r="C126" s="171"/>
      <c r="D126" s="162" t="s">
        <v>404</v>
      </c>
      <c r="E126" s="168"/>
      <c r="F126" s="168"/>
      <c r="G126" s="168"/>
      <c r="H126" s="186"/>
      <c r="I126" s="197"/>
      <c r="J126" s="168"/>
      <c r="K126" s="168"/>
      <c r="L126" s="168"/>
      <c r="M126" s="168"/>
    </row>
    <row r="127" spans="2:15">
      <c r="B127" s="170">
        <f>+B112+1</f>
        <v>59</v>
      </c>
      <c r="C127" s="171"/>
      <c r="D127" s="205" t="s">
        <v>34</v>
      </c>
      <c r="E127" s="168" t="s">
        <v>494</v>
      </c>
      <c r="F127" s="186"/>
      <c r="G127" s="143">
        <v>0</v>
      </c>
      <c r="H127" s="186"/>
      <c r="I127" s="190"/>
      <c r="J127" s="191"/>
      <c r="K127" s="186"/>
      <c r="L127" s="203"/>
      <c r="M127" s="168"/>
    </row>
    <row r="128" spans="2:15">
      <c r="B128" s="170">
        <f t="shared" ref="B128:B134" si="3">+B127+1</f>
        <v>60</v>
      </c>
      <c r="C128" s="171"/>
      <c r="D128" s="205" t="s">
        <v>47</v>
      </c>
      <c r="E128" s="168" t="s">
        <v>208</v>
      </c>
      <c r="F128" s="186"/>
      <c r="G128" s="143">
        <v>0</v>
      </c>
      <c r="H128" s="186"/>
      <c r="I128" s="190"/>
      <c r="J128" s="191"/>
      <c r="K128" s="186"/>
      <c r="L128" s="203"/>
      <c r="M128" s="168"/>
    </row>
    <row r="129" spans="2:15" ht="15.75" thickBot="1">
      <c r="B129" s="170">
        <f t="shared" si="3"/>
        <v>61</v>
      </c>
      <c r="C129" s="171"/>
      <c r="D129" s="205" t="s">
        <v>435</v>
      </c>
      <c r="E129" s="168" t="s">
        <v>207</v>
      </c>
      <c r="F129" s="186"/>
      <c r="G129" s="141">
        <v>24816192</v>
      </c>
      <c r="H129" s="279"/>
      <c r="I129" s="209"/>
      <c r="J129" s="209"/>
      <c r="K129" s="173"/>
      <c r="L129" s="173"/>
      <c r="M129" s="165"/>
      <c r="N129" s="168"/>
      <c r="O129" s="168"/>
    </row>
    <row r="130" spans="2:15">
      <c r="B130" s="170">
        <f t="shared" si="3"/>
        <v>62</v>
      </c>
      <c r="C130" s="171"/>
      <c r="D130" s="205" t="s">
        <v>48</v>
      </c>
      <c r="E130" s="186" t="str">
        <f>"(sum lns "&amp;B127&amp;"  to "&amp;B129&amp;")"</f>
        <v>(sum lns 59  to 61)</v>
      </c>
      <c r="F130" s="186"/>
      <c r="G130" s="203">
        <f>SUM(G127:G129)</f>
        <v>24816192</v>
      </c>
      <c r="H130" s="203"/>
      <c r="I130" s="209"/>
      <c r="J130" s="209"/>
      <c r="K130" s="173"/>
      <c r="L130" s="173"/>
      <c r="M130" s="165"/>
      <c r="N130" s="168"/>
      <c r="O130" s="168"/>
    </row>
    <row r="131" spans="2:15">
      <c r="B131" s="170">
        <f t="shared" si="3"/>
        <v>63</v>
      </c>
      <c r="C131" s="171"/>
      <c r="D131" s="205" t="s">
        <v>133</v>
      </c>
      <c r="E131" s="186" t="str">
        <f>"(Note G) (Worksheet F, ln "&amp;'WS F Misc Exp'!A33&amp;".C)"</f>
        <v>(Note G) (Worksheet F, ln 14.C)</v>
      </c>
      <c r="F131" s="186"/>
      <c r="G131" s="203">
        <f>+'WS F Misc Exp'!D33</f>
        <v>913009.62</v>
      </c>
      <c r="H131" s="203"/>
      <c r="I131" s="209"/>
      <c r="J131" s="209"/>
      <c r="K131" s="173"/>
      <c r="L131" s="173"/>
      <c r="M131" s="165"/>
      <c r="N131" s="168"/>
      <c r="O131" s="168"/>
    </row>
    <row r="132" spans="2:15">
      <c r="B132" s="170">
        <f t="shared" si="3"/>
        <v>64</v>
      </c>
      <c r="C132" s="171"/>
      <c r="D132" s="205" t="s">
        <v>362</v>
      </c>
      <c r="E132" s="186" t="s">
        <v>401</v>
      </c>
      <c r="F132" s="186"/>
      <c r="G132" s="145"/>
      <c r="H132" s="203"/>
      <c r="I132" s="209"/>
      <c r="J132" s="209"/>
      <c r="K132" s="173"/>
      <c r="L132" s="173"/>
      <c r="M132" s="165"/>
      <c r="N132" s="168"/>
      <c r="O132" s="168"/>
    </row>
    <row r="133" spans="2:15" ht="15.75" thickBot="1">
      <c r="B133" s="170">
        <f t="shared" si="3"/>
        <v>65</v>
      </c>
      <c r="C133" s="194"/>
      <c r="D133" s="205" t="s">
        <v>137</v>
      </c>
      <c r="E133" s="186" t="str">
        <f>"(Note I) (Worksheet F, ln "&amp;'WS F Misc Exp'!A21&amp;".C)"</f>
        <v>(Note I) (Worksheet F, ln 4.C)</v>
      </c>
      <c r="F133" s="186"/>
      <c r="G133" s="242">
        <f>+'WS F Misc Exp'!D21</f>
        <v>0</v>
      </c>
      <c r="H133" s="203"/>
      <c r="I133" s="262"/>
      <c r="J133" s="262"/>
      <c r="K133" s="173"/>
      <c r="L133" s="173"/>
      <c r="M133" s="165"/>
      <c r="N133" s="168"/>
      <c r="O133" s="168"/>
    </row>
    <row r="134" spans="2:15">
      <c r="B134" s="170">
        <f t="shared" si="3"/>
        <v>66</v>
      </c>
      <c r="C134" s="171"/>
      <c r="D134" s="205" t="s">
        <v>204</v>
      </c>
      <c r="E134" s="168" t="str">
        <f>"(lns "&amp;B129&amp;" - "&amp;B131&amp;" - "&amp;B132&amp;" - "&amp;B133&amp;")"</f>
        <v>(lns 61 - 63 - 64 - 65)</v>
      </c>
      <c r="F134" s="205"/>
      <c r="G134" s="203">
        <f>G129-G131-G132-G133</f>
        <v>23903182.379999999</v>
      </c>
      <c r="H134" s="186"/>
      <c r="I134" s="197" t="s">
        <v>422</v>
      </c>
      <c r="J134" s="191">
        <f>L209</f>
        <v>0.98856409210777496</v>
      </c>
      <c r="K134" s="186"/>
      <c r="L134" s="203">
        <f>+J134*G134</f>
        <v>23629827.787971262</v>
      </c>
      <c r="M134" s="181"/>
      <c r="N134" s="168"/>
      <c r="O134" s="168"/>
    </row>
    <row r="135" spans="2:15">
      <c r="B135" s="170"/>
      <c r="C135" s="171"/>
      <c r="D135" s="205"/>
      <c r="E135" s="186"/>
      <c r="F135" s="186"/>
      <c r="G135" s="280"/>
      <c r="H135" s="203"/>
      <c r="I135" s="209"/>
      <c r="J135" s="209"/>
      <c r="K135" s="173"/>
      <c r="L135" s="173"/>
      <c r="M135" s="165"/>
      <c r="N135" s="168"/>
      <c r="O135" s="168"/>
    </row>
    <row r="136" spans="2:15">
      <c r="B136" s="170">
        <f>+B134+1</f>
        <v>67</v>
      </c>
      <c r="C136" s="171"/>
      <c r="D136" s="162" t="s">
        <v>405</v>
      </c>
      <c r="E136" s="186" t="s">
        <v>760</v>
      </c>
      <c r="F136" s="168"/>
      <c r="G136" s="145">
        <v>8806571</v>
      </c>
      <c r="H136" s="279" t="s">
        <v>416</v>
      </c>
      <c r="I136" s="257"/>
      <c r="J136" s="257"/>
      <c r="K136" s="168"/>
      <c r="L136" s="256"/>
      <c r="M136" s="168"/>
      <c r="N136" s="168"/>
      <c r="O136" s="168"/>
    </row>
    <row r="137" spans="2:15">
      <c r="B137" s="170">
        <f t="shared" ref="B137:B143" si="4">+B136+1</f>
        <v>68</v>
      </c>
      <c r="C137" s="171"/>
      <c r="D137" s="205" t="s">
        <v>135</v>
      </c>
      <c r="E137" s="168" t="s">
        <v>209</v>
      </c>
      <c r="F137" s="168"/>
      <c r="G137" s="145">
        <v>891242</v>
      </c>
      <c r="H137" s="203"/>
      <c r="I137" s="257"/>
      <c r="J137" s="162"/>
      <c r="K137" s="168"/>
      <c r="L137" s="256"/>
      <c r="M137" s="173"/>
      <c r="N137" s="168"/>
      <c r="O137" s="168"/>
    </row>
    <row r="138" spans="2:15">
      <c r="B138" s="170">
        <f t="shared" si="4"/>
        <v>69</v>
      </c>
      <c r="C138" s="171"/>
      <c r="D138" s="162" t="s">
        <v>134</v>
      </c>
      <c r="E138" s="168" t="s">
        <v>397</v>
      </c>
      <c r="F138" s="186"/>
      <c r="G138" s="145">
        <v>53586</v>
      </c>
      <c r="H138" s="203"/>
      <c r="I138" s="257"/>
      <c r="J138" s="281"/>
      <c r="K138" s="168"/>
      <c r="L138" s="256"/>
      <c r="M138" s="168"/>
      <c r="N138" s="168"/>
      <c r="O138" s="168"/>
    </row>
    <row r="139" spans="2:15">
      <c r="B139" s="170">
        <f t="shared" si="4"/>
        <v>70</v>
      </c>
      <c r="C139" s="171"/>
      <c r="D139" s="205" t="s">
        <v>409</v>
      </c>
      <c r="E139" s="168" t="s">
        <v>398</v>
      </c>
      <c r="F139" s="186"/>
      <c r="G139" s="145">
        <v>243</v>
      </c>
      <c r="H139" s="203"/>
      <c r="I139" s="257"/>
      <c r="J139" s="257"/>
      <c r="K139" s="168"/>
      <c r="L139" s="256"/>
      <c r="M139" s="168"/>
      <c r="N139" s="168"/>
      <c r="O139" s="168"/>
    </row>
    <row r="140" spans="2:15" ht="15.75" thickBot="1">
      <c r="B140" s="170">
        <f t="shared" si="4"/>
        <v>71</v>
      </c>
      <c r="C140" s="171"/>
      <c r="D140" s="205" t="s">
        <v>136</v>
      </c>
      <c r="E140" s="168" t="s">
        <v>399</v>
      </c>
      <c r="F140" s="186"/>
      <c r="G140" s="141">
        <v>166794</v>
      </c>
      <c r="H140" s="203"/>
      <c r="I140" s="257"/>
      <c r="J140" s="257"/>
      <c r="K140" s="168"/>
      <c r="L140" s="256"/>
      <c r="M140" s="168"/>
      <c r="N140" s="168"/>
      <c r="O140" s="168"/>
    </row>
    <row r="141" spans="2:15">
      <c r="B141" s="170">
        <f>+B140+1</f>
        <v>72</v>
      </c>
      <c r="C141" s="171"/>
      <c r="D141" s="162" t="s">
        <v>410</v>
      </c>
      <c r="E141" s="186" t="str">
        <f>"(ln "&amp;B136&amp;" - sum ln "&amp;B137&amp;"  to ln "&amp;B140&amp;")"</f>
        <v>(ln 67 - sum ln 68  to ln 71)</v>
      </c>
      <c r="F141" s="186"/>
      <c r="G141" s="203">
        <f>G136-SUM(G137:G140)</f>
        <v>7694706</v>
      </c>
      <c r="H141" s="203"/>
      <c r="I141" s="197" t="s">
        <v>432</v>
      </c>
      <c r="J141" s="191">
        <f>L219</f>
        <v>0.98856409210777496</v>
      </c>
      <c r="K141" s="168"/>
      <c r="L141" s="256">
        <f>+J141*G141</f>
        <v>7606710.0509262485</v>
      </c>
      <c r="M141" s="168"/>
      <c r="N141" s="168"/>
      <c r="O141" s="168"/>
    </row>
    <row r="142" spans="2:15">
      <c r="B142" s="170">
        <f t="shared" si="4"/>
        <v>73</v>
      </c>
      <c r="C142" s="194"/>
      <c r="D142" s="205" t="s">
        <v>489</v>
      </c>
      <c r="E142" s="186" t="str">
        <f>"(ln "&amp;B137&amp;")"</f>
        <v>(ln 68)</v>
      </c>
      <c r="F142" s="186"/>
      <c r="G142" s="203">
        <f>+G137</f>
        <v>891242</v>
      </c>
      <c r="H142" s="203"/>
      <c r="I142" s="282" t="s">
        <v>636</v>
      </c>
      <c r="J142" s="191">
        <f>J68</f>
        <v>0.98856409210777496</v>
      </c>
      <c r="K142" s="186"/>
      <c r="L142" s="203">
        <f>+J142*G142</f>
        <v>881049.83857831755</v>
      </c>
      <c r="M142" s="168"/>
      <c r="N142" s="168"/>
      <c r="O142" s="168"/>
    </row>
    <row r="143" spans="2:15">
      <c r="B143" s="170">
        <f t="shared" si="4"/>
        <v>74</v>
      </c>
      <c r="C143" s="171"/>
      <c r="D143" s="205" t="s">
        <v>1</v>
      </c>
      <c r="E143" s="186" t="str">
        <f>"Worksheet F ln "&amp;'WS F Misc Exp'!A44&amp;".(E) (Note L)"</f>
        <v>Worksheet F ln 21.(E) (Note L)</v>
      </c>
      <c r="F143" s="186"/>
      <c r="G143" s="203">
        <f>+'WS F Misc Exp'!F44</f>
        <v>52682.82</v>
      </c>
      <c r="H143" s="203"/>
      <c r="I143" s="197" t="s">
        <v>422</v>
      </c>
      <c r="J143" s="191">
        <f>L209</f>
        <v>0.98856409210777496</v>
      </c>
      <c r="K143" s="168"/>
      <c r="L143" s="256">
        <f>J143*G143</f>
        <v>52080.344122977331</v>
      </c>
      <c r="M143" s="168"/>
      <c r="N143" s="168"/>
      <c r="O143" s="168"/>
    </row>
    <row r="144" spans="2:15">
      <c r="B144" s="170">
        <f>B143+1</f>
        <v>75</v>
      </c>
      <c r="C144" s="171"/>
      <c r="D144" s="205" t="s">
        <v>27</v>
      </c>
      <c r="E144" s="186" t="str">
        <f>"Worksheet F ln "&amp;'WS F Misc Exp'!A64&amp;".(E) (Note L)"</f>
        <v>Worksheet F ln 38.(E) (Note L)</v>
      </c>
      <c r="F144" s="186"/>
      <c r="G144" s="189">
        <f>+'WS F Misc Exp'!F64</f>
        <v>0</v>
      </c>
      <c r="H144" s="186"/>
      <c r="I144" s="190" t="s">
        <v>422</v>
      </c>
      <c r="J144" s="191">
        <f>L209</f>
        <v>0.98856409210777496</v>
      </c>
      <c r="K144" s="168"/>
      <c r="L144" s="256">
        <f>+J144*G144</f>
        <v>0</v>
      </c>
      <c r="M144" s="168"/>
      <c r="N144" s="168"/>
      <c r="O144" s="168"/>
    </row>
    <row r="145" spans="2:15">
      <c r="B145" s="170">
        <f>+B144+1</f>
        <v>76</v>
      </c>
      <c r="C145" s="171"/>
      <c r="D145" s="205" t="s">
        <v>28</v>
      </c>
      <c r="E145" s="186" t="str">
        <f>"Worksheet F ln "&amp;'WS F Misc Exp'!A73&amp;".(E) (Note L)"</f>
        <v>Worksheet F ln 44.(E) (Note L)</v>
      </c>
      <c r="F145" s="186"/>
      <c r="G145" s="189">
        <f>+'WS F Misc Exp'!F73</f>
        <v>1503.8700000000001</v>
      </c>
      <c r="H145" s="283"/>
      <c r="I145" s="190" t="s">
        <v>430</v>
      </c>
      <c r="J145" s="191">
        <v>1</v>
      </c>
      <c r="K145" s="168"/>
      <c r="L145" s="284">
        <f>+J145*G145</f>
        <v>1503.8700000000001</v>
      </c>
      <c r="M145" s="168"/>
      <c r="N145" s="168"/>
      <c r="O145" s="168"/>
    </row>
    <row r="146" spans="2:15">
      <c r="B146" s="170">
        <f>+B145+1</f>
        <v>77</v>
      </c>
      <c r="C146" s="171"/>
      <c r="D146" s="1299" t="s">
        <v>797</v>
      </c>
      <c r="E146" s="186" t="str">
        <f>"Worksheet O Ln "&amp;'Worksheet O'!A33&amp;"."&amp;'Worksheet O'!D11&amp;", (Note K &amp; M)"</f>
        <v>Worksheet O Ln 16.(B), (Note K &amp; M)</v>
      </c>
      <c r="F146" s="186"/>
      <c r="G146" s="1230">
        <f>'Worksheet O'!D33</f>
        <v>866385.6402840747</v>
      </c>
      <c r="H146" s="283"/>
      <c r="I146" s="197" t="s">
        <v>432</v>
      </c>
      <c r="J146" s="191">
        <f>L219</f>
        <v>0.98856409210777496</v>
      </c>
      <c r="K146" s="168"/>
      <c r="L146" s="1315">
        <f>+J146*G146</f>
        <v>856477.73390263959</v>
      </c>
      <c r="M146" s="168"/>
      <c r="N146" s="168"/>
      <c r="O146" s="168"/>
    </row>
    <row r="147" spans="2:15">
      <c r="B147" s="170">
        <f>+B146+1</f>
        <v>78</v>
      </c>
      <c r="C147" s="171"/>
      <c r="D147" s="162" t="s">
        <v>411</v>
      </c>
      <c r="E147" s="186" t="str">
        <f>"(sum lns "&amp;B141&amp;"  to "&amp;B146&amp;")"</f>
        <v>(sum lns 72  to 77)</v>
      </c>
      <c r="F147" s="186"/>
      <c r="G147" s="256">
        <f>SUM(G141:G146)</f>
        <v>9506520.3302840739</v>
      </c>
      <c r="H147" s="203"/>
      <c r="I147" s="197"/>
      <c r="J147" s="257"/>
      <c r="K147" s="168"/>
      <c r="L147" s="256">
        <f>SUM(L141:L146)</f>
        <v>9397821.8375301827</v>
      </c>
      <c r="M147" s="168"/>
      <c r="N147" s="256"/>
      <c r="O147" s="168"/>
    </row>
    <row r="148" spans="2:15" ht="15.75" thickBot="1">
      <c r="B148" s="170"/>
      <c r="C148" s="171"/>
      <c r="D148" s="205"/>
      <c r="E148" s="186"/>
      <c r="F148" s="186"/>
      <c r="G148" s="242"/>
      <c r="H148" s="186"/>
      <c r="I148" s="197"/>
      <c r="J148" s="257"/>
      <c r="K148" s="168"/>
      <c r="L148" s="265"/>
      <c r="M148" s="168"/>
      <c r="N148" s="168"/>
      <c r="O148" s="168"/>
    </row>
    <row r="149" spans="2:15">
      <c r="B149" s="170">
        <f>+B147+1</f>
        <v>79</v>
      </c>
      <c r="C149" s="194"/>
      <c r="D149" s="205" t="s">
        <v>206</v>
      </c>
      <c r="E149" s="186" t="str">
        <f>"(ln "&amp;B134&amp;" + ln "&amp;B147&amp;")"</f>
        <v>(ln 66 + ln 78)</v>
      </c>
      <c r="F149" s="186"/>
      <c r="G149" s="203">
        <f>+G134+G147</f>
        <v>33409702.710284073</v>
      </c>
      <c r="H149" s="203"/>
      <c r="I149" s="190"/>
      <c r="J149" s="186"/>
      <c r="K149" s="186"/>
      <c r="L149" s="203">
        <f>L134+L147</f>
        <v>33027649.625501446</v>
      </c>
      <c r="M149" s="168"/>
      <c r="N149" s="168"/>
      <c r="O149" s="168"/>
    </row>
    <row r="150" spans="2:15" ht="15.75" thickBot="1">
      <c r="B150" s="255">
        <f>+B149+1</f>
        <v>80</v>
      </c>
      <c r="C150" s="194"/>
      <c r="D150" s="205" t="s">
        <v>282</v>
      </c>
      <c r="E150" s="205"/>
      <c r="F150" s="186"/>
      <c r="G150" s="141">
        <v>0</v>
      </c>
      <c r="H150" s="203"/>
      <c r="I150" s="197" t="s">
        <v>430</v>
      </c>
      <c r="J150" s="191">
        <f>J63</f>
        <v>1</v>
      </c>
      <c r="K150" s="186"/>
      <c r="L150" s="265">
        <f>J150*G150</f>
        <v>0</v>
      </c>
      <c r="M150" s="168"/>
      <c r="N150" s="168"/>
      <c r="O150" s="168"/>
    </row>
    <row r="151" spans="2:15">
      <c r="B151" s="170">
        <f>+B150+1</f>
        <v>81</v>
      </c>
      <c r="C151" s="171"/>
      <c r="D151" s="205" t="s">
        <v>412</v>
      </c>
      <c r="E151" s="186" t="str">
        <f>"(ln "&amp;B149&amp;" + ln "&amp;B150&amp;")"</f>
        <v>(ln 79 + ln 80)</v>
      </c>
      <c r="F151" s="186"/>
      <c r="G151" s="203">
        <f>+G149+G150</f>
        <v>33409702.710284073</v>
      </c>
      <c r="H151" s="203"/>
      <c r="I151" s="190"/>
      <c r="J151" s="186"/>
      <c r="K151" s="186"/>
      <c r="L151" s="203">
        <f>+L149+L150</f>
        <v>33027649.625501446</v>
      </c>
      <c r="M151" s="168"/>
      <c r="N151" s="168"/>
      <c r="O151" s="168"/>
    </row>
    <row r="152" spans="2:15">
      <c r="B152" s="170"/>
      <c r="C152" s="171"/>
      <c r="D152" s="205"/>
      <c r="E152" s="168"/>
      <c r="F152" s="168"/>
      <c r="G152" s="256"/>
      <c r="H152" s="186"/>
      <c r="I152" s="168"/>
      <c r="J152" s="168"/>
      <c r="K152" s="168"/>
      <c r="L152" s="256"/>
      <c r="M152" s="168"/>
      <c r="N152" s="168"/>
      <c r="O152" s="168"/>
    </row>
    <row r="153" spans="2:15">
      <c r="B153" s="170">
        <f>+B151+1</f>
        <v>82</v>
      </c>
      <c r="C153" s="171"/>
      <c r="D153" s="241" t="s">
        <v>415</v>
      </c>
      <c r="E153" s="190"/>
      <c r="F153" s="190"/>
      <c r="G153" s="256"/>
      <c r="H153" s="186"/>
      <c r="I153" s="197"/>
      <c r="J153" s="168"/>
      <c r="K153" s="168"/>
      <c r="L153" s="256"/>
      <c r="M153" s="168"/>
      <c r="N153" s="168"/>
      <c r="O153" s="168"/>
    </row>
    <row r="154" spans="2:15">
      <c r="B154" s="255">
        <f>+B153+1</f>
        <v>83</v>
      </c>
      <c r="C154" s="171"/>
      <c r="D154" s="234" t="str">
        <f>+D129</f>
        <v xml:space="preserve">  Transmission </v>
      </c>
      <c r="E154" s="185" t="s">
        <v>210</v>
      </c>
      <c r="F154" s="285"/>
      <c r="G154" s="149">
        <v>74085653</v>
      </c>
      <c r="H154" s="286"/>
      <c r="I154" s="287" t="s">
        <v>422</v>
      </c>
      <c r="J154" s="1473">
        <f>L209</f>
        <v>0.98856409210777496</v>
      </c>
      <c r="K154" s="239"/>
      <c r="L154" s="288">
        <f>J154*G154</f>
        <v>73238416.29615666</v>
      </c>
      <c r="M154" s="239"/>
      <c r="N154" s="168"/>
      <c r="O154" s="168"/>
    </row>
    <row r="155" spans="2:15">
      <c r="B155" s="170">
        <f>+B154+1</f>
        <v>84</v>
      </c>
      <c r="C155" s="171"/>
      <c r="D155" s="241" t="s">
        <v>436</v>
      </c>
      <c r="E155" s="285" t="s">
        <v>211</v>
      </c>
      <c r="F155" s="168"/>
      <c r="G155" s="149">
        <v>1196587</v>
      </c>
      <c r="H155" s="203"/>
      <c r="I155" s="197" t="s">
        <v>432</v>
      </c>
      <c r="J155" s="191">
        <f>L219</f>
        <v>0.98856409210777496</v>
      </c>
      <c r="K155" s="168"/>
      <c r="L155" s="256">
        <f>+J155*G155</f>
        <v>1182902.9412829662</v>
      </c>
      <c r="M155" s="168"/>
      <c r="N155" s="186"/>
      <c r="O155" s="168"/>
    </row>
    <row r="156" spans="2:15" ht="15.75" thickBot="1">
      <c r="B156" s="170">
        <f>+B155+1</f>
        <v>85</v>
      </c>
      <c r="C156" s="171"/>
      <c r="D156" s="241" t="s">
        <v>437</v>
      </c>
      <c r="E156" s="235" t="s">
        <v>212</v>
      </c>
      <c r="F156" s="186"/>
      <c r="G156" s="141">
        <v>5219200</v>
      </c>
      <c r="H156" s="203"/>
      <c r="I156" s="197" t="s">
        <v>432</v>
      </c>
      <c r="J156" s="191">
        <f>L219</f>
        <v>0.98856409210777496</v>
      </c>
      <c r="K156" s="168"/>
      <c r="L156" s="265">
        <f>+J156*G156</f>
        <v>5159513.7095288988</v>
      </c>
      <c r="M156" s="168"/>
      <c r="N156" s="186"/>
      <c r="O156" s="168"/>
    </row>
    <row r="157" spans="2:15" ht="15" customHeight="1">
      <c r="B157" s="170">
        <f>+B156+1</f>
        <v>86</v>
      </c>
      <c r="C157" s="171"/>
      <c r="D157" s="241" t="s">
        <v>106</v>
      </c>
      <c r="E157" s="289" t="str">
        <f>"(Ln "&amp;B154&amp;"+"&amp;B155&amp;"+"&amp;B156&amp;")"</f>
        <v>(Ln 83+84+85)</v>
      </c>
      <c r="F157" s="168"/>
      <c r="G157" s="203">
        <f>+G154+G155+G156</f>
        <v>80501440</v>
      </c>
      <c r="H157" s="186"/>
      <c r="I157" s="197"/>
      <c r="J157" s="168"/>
      <c r="K157" s="168"/>
      <c r="L157" s="203">
        <f>+L154+L155+L156</f>
        <v>79580832.946968526</v>
      </c>
      <c r="M157" s="168"/>
      <c r="N157" s="168"/>
      <c r="O157" s="168"/>
    </row>
    <row r="158" spans="2:15">
      <c r="B158" s="170"/>
      <c r="C158" s="171"/>
      <c r="D158" s="241"/>
      <c r="E158" s="290"/>
      <c r="F158" s="168"/>
      <c r="G158" s="256"/>
      <c r="H158" s="186"/>
      <c r="I158" s="197"/>
      <c r="J158" s="168"/>
      <c r="K158" s="168"/>
      <c r="L158" s="256"/>
      <c r="M158" s="168"/>
      <c r="N158" s="168"/>
      <c r="O158" s="168"/>
    </row>
    <row r="159" spans="2:15">
      <c r="B159" s="170">
        <f>+B157+1</f>
        <v>87</v>
      </c>
      <c r="C159" s="171"/>
      <c r="D159" s="241" t="s">
        <v>367</v>
      </c>
      <c r="E159" s="160" t="s">
        <v>213</v>
      </c>
      <c r="G159" s="256"/>
      <c r="H159" s="186"/>
      <c r="I159" s="197"/>
      <c r="J159" s="168"/>
      <c r="K159" s="168"/>
      <c r="L159" s="256"/>
      <c r="M159" s="168"/>
      <c r="N159" s="291"/>
      <c r="O159" s="168"/>
    </row>
    <row r="160" spans="2:15">
      <c r="B160" s="170">
        <f t="shared" ref="B160:B165" si="5">+B159+1</f>
        <v>88</v>
      </c>
      <c r="C160" s="171"/>
      <c r="D160" s="241" t="s">
        <v>438</v>
      </c>
      <c r="G160" s="256"/>
      <c r="H160" s="186"/>
      <c r="I160" s="197"/>
      <c r="K160" s="168"/>
      <c r="L160" s="256"/>
      <c r="M160" s="168"/>
      <c r="N160" s="168"/>
      <c r="O160" s="168"/>
    </row>
    <row r="161" spans="2:15">
      <c r="B161" s="170">
        <f t="shared" si="5"/>
        <v>89</v>
      </c>
      <c r="C161" s="171"/>
      <c r="D161" s="241" t="s">
        <v>439</v>
      </c>
      <c r="E161" s="186" t="str">
        <f>"Worksheet H ln "&amp;'WS H-p1 Other Taxes'!A43&amp;"."&amp;'WS H-p1 Other Taxes'!I10&amp;""</f>
        <v>Worksheet H ln 23.(D)</v>
      </c>
      <c r="F161" s="168"/>
      <c r="G161" s="203">
        <f>+'WS H-p1 Other Taxes'!I43</f>
        <v>0</v>
      </c>
      <c r="H161" s="203"/>
      <c r="I161" s="197" t="s">
        <v>432</v>
      </c>
      <c r="J161" s="191">
        <f>L219</f>
        <v>0.98856409210777496</v>
      </c>
      <c r="K161" s="168"/>
      <c r="L161" s="256">
        <f>+J161*G161</f>
        <v>0</v>
      </c>
      <c r="M161" s="261"/>
      <c r="N161" s="168"/>
      <c r="O161" s="168"/>
    </row>
    <row r="162" spans="2:15">
      <c r="B162" s="170">
        <f t="shared" si="5"/>
        <v>90</v>
      </c>
      <c r="C162" s="171"/>
      <c r="D162" s="241" t="s">
        <v>440</v>
      </c>
      <c r="E162" s="186" t="s">
        <v>416</v>
      </c>
      <c r="F162" s="168"/>
      <c r="G162" s="203"/>
      <c r="H162" s="203"/>
      <c r="I162" s="197"/>
      <c r="K162" s="168"/>
      <c r="L162" s="256"/>
      <c r="M162" s="186"/>
      <c r="N162" s="168"/>
      <c r="O162" s="168"/>
    </row>
    <row r="163" spans="2:15">
      <c r="B163" s="193">
        <f t="shared" si="5"/>
        <v>91</v>
      </c>
      <c r="C163" s="194"/>
      <c r="D163" s="240" t="s">
        <v>441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28809015</v>
      </c>
      <c r="H163" s="203"/>
      <c r="I163" s="190" t="s">
        <v>430</v>
      </c>
      <c r="J163" s="191">
        <v>1</v>
      </c>
      <c r="K163" s="186"/>
      <c r="L163" s="203">
        <f>'WS H-p2 Detail of Tax Amts'!I22</f>
        <v>28809015</v>
      </c>
      <c r="M163" s="292"/>
      <c r="N163" s="291"/>
      <c r="O163" s="186"/>
    </row>
    <row r="164" spans="2:15">
      <c r="B164" s="170">
        <f t="shared" si="5"/>
        <v>92</v>
      </c>
      <c r="C164" s="171"/>
      <c r="D164" s="241" t="s">
        <v>492</v>
      </c>
      <c r="E164" s="186" t="str">
        <f>"Worksheet H ln "&amp;'WS H-p1 Other Taxes'!A43&amp;"."&amp;'WS H-p1 Other Taxes'!M10&amp;""</f>
        <v>Worksheet H ln 23.(F)</v>
      </c>
      <c r="F164" s="168"/>
      <c r="G164" s="203">
        <f>+'WS H-p1 Other Taxes'!M43</f>
        <v>-73</v>
      </c>
      <c r="H164" s="262"/>
      <c r="I164" s="197" t="s">
        <v>428</v>
      </c>
      <c r="J164" s="191">
        <v>0</v>
      </c>
      <c r="K164" s="168"/>
      <c r="L164" s="256">
        <f>+J164*G164</f>
        <v>0</v>
      </c>
      <c r="M164" s="186"/>
      <c r="N164" s="168"/>
      <c r="O164" s="168"/>
    </row>
    <row r="165" spans="2:15" ht="15.75" thickBot="1">
      <c r="B165" s="170">
        <f t="shared" si="5"/>
        <v>93</v>
      </c>
      <c r="C165" s="171"/>
      <c r="D165" s="241" t="s">
        <v>442</v>
      </c>
      <c r="E165" s="186" t="str">
        <f>"Worksheet H ln "&amp;'WS H-p1 Other Taxes'!A43&amp;"."&amp;'WS H-p1 Other Taxes'!K10&amp;""</f>
        <v>Worksheet H ln 23.(E)</v>
      </c>
      <c r="F165" s="168"/>
      <c r="G165" s="242">
        <f>+'WS H-p1 Other Taxes'!K43</f>
        <v>0</v>
      </c>
      <c r="H165" s="262"/>
      <c r="I165" s="197" t="s">
        <v>763</v>
      </c>
      <c r="J165" s="191">
        <f>J68</f>
        <v>0.98856409210777496</v>
      </c>
      <c r="K165" s="168"/>
      <c r="L165" s="265">
        <f>+J165*G165</f>
        <v>0</v>
      </c>
      <c r="M165" s="186"/>
      <c r="N165" s="168"/>
      <c r="O165" s="168"/>
    </row>
    <row r="166" spans="2:15">
      <c r="B166" s="170">
        <f>+B165+1</f>
        <v>94</v>
      </c>
      <c r="C166" s="171"/>
      <c r="D166" s="241" t="s">
        <v>368</v>
      </c>
      <c r="E166" s="196" t="str">
        <f>"(sum lns "&amp;B161&amp;" to "&amp;B165&amp;")"</f>
        <v>(sum lns 89 to 93)</v>
      </c>
      <c r="F166" s="168"/>
      <c r="G166" s="203">
        <f>SUM(G161:G165)</f>
        <v>28808942</v>
      </c>
      <c r="H166" s="186"/>
      <c r="I166" s="197"/>
      <c r="J166" s="293"/>
      <c r="K166" s="168"/>
      <c r="L166" s="256">
        <f>SUM(L161:L165)</f>
        <v>28809015</v>
      </c>
      <c r="M166" s="168"/>
      <c r="N166" s="168"/>
      <c r="O166" s="168"/>
    </row>
    <row r="167" spans="2:15">
      <c r="B167" s="170"/>
      <c r="C167" s="171"/>
      <c r="D167" s="241"/>
      <c r="E167" s="168"/>
      <c r="F167" s="168"/>
      <c r="G167" s="168"/>
      <c r="H167" s="186"/>
      <c r="I167" s="197"/>
      <c r="J167" s="293"/>
      <c r="K167" s="168"/>
      <c r="L167" s="168"/>
      <c r="M167" s="294"/>
      <c r="N167" s="168"/>
      <c r="O167" s="168"/>
    </row>
    <row r="168" spans="2:15">
      <c r="B168" s="170">
        <f>+B166+1</f>
        <v>95</v>
      </c>
      <c r="C168" s="171"/>
      <c r="D168" s="241" t="s">
        <v>141</v>
      </c>
      <c r="E168" s="186" t="s">
        <v>214</v>
      </c>
      <c r="F168" s="295"/>
      <c r="G168" s="168"/>
      <c r="H168" s="209"/>
      <c r="I168" s="270"/>
      <c r="K168" s="168"/>
      <c r="L168" s="296"/>
      <c r="M168" s="168"/>
      <c r="N168" s="168"/>
      <c r="O168" s="168"/>
    </row>
    <row r="169" spans="2:15">
      <c r="B169" s="170">
        <f t="shared" ref="B169:B174" si="6">+B168+1</f>
        <v>96</v>
      </c>
      <c r="C169" s="171"/>
      <c r="D169" s="297" t="s">
        <v>142</v>
      </c>
      <c r="E169" s="168"/>
      <c r="F169" s="298"/>
      <c r="G169" s="299">
        <f>IF(F340&gt;0,1-(((1-F341)*(1-F340))/(1-F341*F340*F342)),0)</f>
        <v>0.25076399999999999</v>
      </c>
      <c r="H169" s="300"/>
      <c r="I169" s="300"/>
      <c r="K169" s="301"/>
      <c r="L169" s="296"/>
      <c r="M169" s="168"/>
      <c r="N169" s="168"/>
      <c r="O169" s="168"/>
    </row>
    <row r="170" spans="2:15">
      <c r="B170" s="170">
        <f t="shared" si="6"/>
        <v>97</v>
      </c>
      <c r="C170" s="171"/>
      <c r="D170" s="260" t="s">
        <v>143</v>
      </c>
      <c r="E170" s="168"/>
      <c r="F170" s="298"/>
      <c r="G170" s="299">
        <f>IF(L233&gt;0,($G169/(1-$G169))*(1-$L233/$L236),0)</f>
        <v>0.25739704901815735</v>
      </c>
      <c r="H170" s="300"/>
      <c r="I170" s="300"/>
      <c r="K170" s="301"/>
      <c r="L170" s="296"/>
      <c r="M170" s="168"/>
      <c r="N170" s="168"/>
      <c r="O170" s="168"/>
    </row>
    <row r="171" spans="2:15">
      <c r="B171" s="170">
        <f t="shared" si="6"/>
        <v>98</v>
      </c>
      <c r="C171" s="171"/>
      <c r="D171" s="240" t="str">
        <f>"       where WCLTD=(ln "&amp;B233&amp;") and WACC = (ln "&amp;B236&amp;")"</f>
        <v xml:space="preserve">       where WCLTD=(ln 136) and WACC = (ln 139)</v>
      </c>
      <c r="E171" s="186"/>
      <c r="F171" s="302"/>
      <c r="G171" s="168"/>
      <c r="H171" s="300"/>
      <c r="I171" s="300"/>
      <c r="J171" s="303"/>
      <c r="K171" s="301"/>
      <c r="L171" s="304"/>
      <c r="M171" s="168"/>
      <c r="N171" s="168"/>
      <c r="O171" s="168"/>
    </row>
    <row r="172" spans="2:15">
      <c r="B172" s="170">
        <f t="shared" si="6"/>
        <v>99</v>
      </c>
      <c r="C172" s="171"/>
      <c r="D172" s="241" t="s">
        <v>215</v>
      </c>
      <c r="E172" s="305"/>
      <c r="F172" s="298"/>
      <c r="G172" s="168"/>
      <c r="H172" s="209"/>
      <c r="I172" s="270"/>
      <c r="J172" s="303"/>
      <c r="K172" s="301"/>
      <c r="L172" s="296"/>
      <c r="M172" s="168"/>
      <c r="N172" s="168"/>
      <c r="O172" s="168"/>
    </row>
    <row r="173" spans="2:15">
      <c r="B173" s="170">
        <f t="shared" si="6"/>
        <v>100</v>
      </c>
      <c r="C173" s="171"/>
      <c r="D173" s="306" t="str">
        <f>"      GRCF=1 / (1 - T)  = (from ln "&amp;B169&amp;")"</f>
        <v xml:space="preserve">      GRCF=1 / (1 - T)  = (from ln 96)</v>
      </c>
      <c r="E173" s="295"/>
      <c r="F173" s="295"/>
      <c r="G173" s="307">
        <f>IF(G169&gt;0,1/(1-G169),0)</f>
        <v>1.3346929405420989</v>
      </c>
      <c r="H173" s="209"/>
      <c r="I173" s="213"/>
      <c r="J173" s="308"/>
      <c r="K173" s="309"/>
      <c r="L173" s="310"/>
      <c r="M173" s="168"/>
      <c r="N173" s="168"/>
      <c r="O173" s="168"/>
    </row>
    <row r="174" spans="2:15">
      <c r="B174" s="170">
        <f t="shared" si="6"/>
        <v>101</v>
      </c>
      <c r="C174" s="171"/>
      <c r="D174" s="240" t="s">
        <v>144</v>
      </c>
      <c r="E174" s="250" t="s">
        <v>302</v>
      </c>
      <c r="F174" s="302"/>
      <c r="G174" s="143">
        <v>0</v>
      </c>
      <c r="H174" s="346"/>
      <c r="I174" s="282"/>
      <c r="J174" s="1236"/>
      <c r="K174" s="203"/>
      <c r="L174" s="160"/>
      <c r="M174" s="197"/>
      <c r="N174" s="168"/>
      <c r="O174" s="168"/>
    </row>
    <row r="175" spans="2:15">
      <c r="B175" s="170">
        <f t="shared" ref="B175:B181" si="7">+B174+1</f>
        <v>102</v>
      </c>
      <c r="C175" s="171"/>
      <c r="D175" s="240" t="s">
        <v>560</v>
      </c>
      <c r="E175" s="186" t="s">
        <v>764</v>
      </c>
      <c r="F175" s="1228"/>
      <c r="G175" s="143">
        <v>1198687.4816006627</v>
      </c>
      <c r="H175" s="346"/>
      <c r="I175" s="314" t="s">
        <v>640</v>
      </c>
      <c r="J175" s="191">
        <f>NP_h</f>
        <v>0.99192075308093897</v>
      </c>
      <c r="K175" s="203"/>
      <c r="L175" s="189">
        <f>+G175*J175</f>
        <v>1189002.9894580236</v>
      </c>
      <c r="M175" s="168"/>
      <c r="N175" s="168"/>
      <c r="O175" s="168"/>
    </row>
    <row r="176" spans="2:15">
      <c r="B176" s="170">
        <f t="shared" si="7"/>
        <v>103</v>
      </c>
      <c r="C176" s="171"/>
      <c r="D176" s="240" t="s">
        <v>639</v>
      </c>
      <c r="E176" s="186" t="s">
        <v>764</v>
      </c>
      <c r="F176" s="1228"/>
      <c r="G176" s="143">
        <v>695595.6</v>
      </c>
      <c r="H176" s="346"/>
      <c r="I176" s="314" t="s">
        <v>640</v>
      </c>
      <c r="J176" s="191">
        <f>NP_h</f>
        <v>0.99192075308093897</v>
      </c>
      <c r="K176" s="203"/>
      <c r="L176" s="189">
        <f>+G176*J176</f>
        <v>689975.71139178751</v>
      </c>
      <c r="M176" s="168"/>
      <c r="N176" s="168"/>
      <c r="O176" s="168"/>
    </row>
    <row r="177" spans="2:15">
      <c r="B177" s="170">
        <f t="shared" si="7"/>
        <v>104</v>
      </c>
      <c r="C177" s="171"/>
      <c r="D177" s="306" t="s">
        <v>145</v>
      </c>
      <c r="E177" s="311" t="str">
        <f>"(ln "&amp;B170&amp;" * ln "&amp;B183&amp;")"</f>
        <v>(ln 97 * ln 109)</v>
      </c>
      <c r="F177" s="312"/>
      <c r="G177" s="203">
        <f>+G170*G183</f>
        <v>45247062.315422289</v>
      </c>
      <c r="H177" s="346"/>
      <c r="I177" s="282"/>
      <c r="J177" s="1229"/>
      <c r="K177" s="203"/>
      <c r="L177" s="203">
        <f>+L183*G170</f>
        <v>48015119.674260497</v>
      </c>
      <c r="M177" s="168"/>
      <c r="N177" s="168"/>
      <c r="O177" s="168"/>
    </row>
    <row r="178" spans="2:15">
      <c r="B178" s="170">
        <f t="shared" si="7"/>
        <v>105</v>
      </c>
      <c r="C178" s="171"/>
      <c r="D178" s="325" t="s">
        <v>146</v>
      </c>
      <c r="E178" s="311" t="str">
        <f>"(ln "&amp;B173&amp;" * ln "&amp;B174&amp;")"</f>
        <v>(ln 100 * ln 101)</v>
      </c>
      <c r="F178" s="311"/>
      <c r="G178" s="189">
        <f>G173*G174</f>
        <v>0</v>
      </c>
      <c r="H178" s="346"/>
      <c r="I178" s="314" t="s">
        <v>640</v>
      </c>
      <c r="J178" s="191">
        <f>NP_h</f>
        <v>0.99192075308093897</v>
      </c>
      <c r="K178" s="203"/>
      <c r="L178" s="189">
        <f>+G178*J178</f>
        <v>0</v>
      </c>
      <c r="M178" s="168"/>
      <c r="N178" s="168"/>
      <c r="O178" s="168"/>
    </row>
    <row r="179" spans="2:15">
      <c r="B179" s="170">
        <f t="shared" si="7"/>
        <v>106</v>
      </c>
      <c r="C179" s="171"/>
      <c r="D179" s="325" t="s">
        <v>560</v>
      </c>
      <c r="E179" s="311" t="str">
        <f>"(ln "&amp;B173&amp;" * ln "&amp;B175&amp;")"</f>
        <v>(ln 100 * ln 102)</v>
      </c>
      <c r="F179" s="311"/>
      <c r="G179" s="189">
        <f>G173*G175</f>
        <v>1599879.7196085914</v>
      </c>
      <c r="H179" s="346"/>
      <c r="I179" s="314"/>
      <c r="J179" s="191"/>
      <c r="K179" s="203"/>
      <c r="L179" s="189">
        <f>G173*L175</f>
        <v>1586953.8963130757</v>
      </c>
      <c r="M179" s="168"/>
      <c r="N179" s="168"/>
      <c r="O179" s="168"/>
    </row>
    <row r="180" spans="2:15">
      <c r="B180" s="170">
        <f t="shared" si="7"/>
        <v>107</v>
      </c>
      <c r="C180" s="171"/>
      <c r="D180" s="240" t="s">
        <v>639</v>
      </c>
      <c r="E180" s="311" t="str">
        <f>"(ln "&amp;B173&amp;" * ln "&amp;B176&amp;")"</f>
        <v>(ln 100 * ln 103)</v>
      </c>
      <c r="F180" s="311"/>
      <c r="G180" s="1230">
        <f>G173*G176</f>
        <v>928406.53679214558</v>
      </c>
      <c r="H180" s="346"/>
      <c r="I180" s="314"/>
      <c r="J180" s="191"/>
      <c r="K180" s="203"/>
      <c r="L180" s="1230">
        <f>G173*L176</f>
        <v>920905.71114013146</v>
      </c>
      <c r="M180" s="168"/>
      <c r="N180" s="168"/>
      <c r="O180" s="168"/>
    </row>
    <row r="181" spans="2:15">
      <c r="B181" s="255">
        <f t="shared" si="7"/>
        <v>108</v>
      </c>
      <c r="C181" s="171"/>
      <c r="D181" s="297" t="s">
        <v>369</v>
      </c>
      <c r="E181" s="168" t="str">
        <f>"(sum lns "&amp;B177&amp;" to "&amp;B180&amp;")"</f>
        <v>(sum lns 104 to 107)</v>
      </c>
      <c r="F181" s="311"/>
      <c r="G181" s="314">
        <f>SUM(G177:G180)</f>
        <v>47775348.571823023</v>
      </c>
      <c r="H181" s="209"/>
      <c r="I181" s="213" t="s">
        <v>416</v>
      </c>
      <c r="J181" s="315"/>
      <c r="K181" s="256"/>
      <c r="L181" s="314">
        <f>SUM(L177:L180)</f>
        <v>50522979.281713709</v>
      </c>
      <c r="M181" s="168"/>
      <c r="N181" s="168"/>
      <c r="O181" s="168"/>
    </row>
    <row r="182" spans="2:15">
      <c r="B182" s="255"/>
      <c r="C182" s="171"/>
      <c r="D182" s="297"/>
      <c r="E182" s="168"/>
      <c r="F182" s="311"/>
      <c r="G182" s="314"/>
      <c r="H182" s="209"/>
      <c r="I182" s="213"/>
      <c r="J182" s="315"/>
      <c r="K182" s="256"/>
      <c r="L182" s="314"/>
      <c r="M182" s="168"/>
      <c r="N182" s="168"/>
      <c r="O182" s="168"/>
    </row>
    <row r="183" spans="2:15">
      <c r="B183" s="255">
        <f>+B181+1</f>
        <v>109</v>
      </c>
      <c r="C183" s="171"/>
      <c r="D183" s="306" t="s">
        <v>491</v>
      </c>
      <c r="E183" s="306" t="str">
        <f>"(ln "&amp;B112&amp;" * ln "&amp;B236&amp;")"</f>
        <v>(ln 58 * ln 139)</v>
      </c>
      <c r="F183" s="267"/>
      <c r="G183" s="1405">
        <f>+$L236*G112</f>
        <v>175787028.20415965</v>
      </c>
      <c r="H183" s="186"/>
      <c r="I183" s="213"/>
      <c r="J183" s="256"/>
      <c r="K183" s="256"/>
      <c r="L183" s="1405">
        <f>+L236*L112</f>
        <v>186541065.087632</v>
      </c>
      <c r="M183" s="168"/>
      <c r="N183" s="296"/>
      <c r="O183" s="296"/>
    </row>
    <row r="184" spans="2:15">
      <c r="B184" s="170"/>
      <c r="C184" s="171"/>
      <c r="D184" s="297"/>
      <c r="G184" s="256"/>
      <c r="H184" s="256"/>
      <c r="I184" s="213"/>
      <c r="J184" s="213"/>
      <c r="K184" s="256"/>
      <c r="L184" s="256"/>
      <c r="M184" s="168"/>
    </row>
    <row r="185" spans="2:15">
      <c r="B185" s="170">
        <f>+B183+1</f>
        <v>110</v>
      </c>
      <c r="C185" s="171"/>
      <c r="D185" s="316" t="s">
        <v>400</v>
      </c>
      <c r="F185" s="285"/>
      <c r="G185" s="203">
        <f>-'WS D IPP Credits'!C13</f>
        <v>0</v>
      </c>
      <c r="H185" s="203"/>
      <c r="I185" s="264" t="s">
        <v>430</v>
      </c>
      <c r="J185" s="191">
        <v>1</v>
      </c>
      <c r="K185" s="288"/>
      <c r="L185" s="256">
        <f>+J185*G185</f>
        <v>0</v>
      </c>
      <c r="M185" s="239"/>
    </row>
    <row r="186" spans="2:15">
      <c r="B186" s="170"/>
      <c r="C186" s="171"/>
      <c r="D186" s="316"/>
      <c r="F186" s="285"/>
      <c r="G186" s="203"/>
      <c r="H186" s="203"/>
      <c r="I186" s="264"/>
      <c r="J186" s="191"/>
      <c r="K186" s="288"/>
      <c r="L186" s="256"/>
      <c r="M186" s="239"/>
    </row>
    <row r="187" spans="2:15">
      <c r="B187" s="170">
        <f>+B185+1</f>
        <v>111</v>
      </c>
      <c r="C187" s="171"/>
      <c r="D187" s="316"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7"/>
      <c r="J187" s="191"/>
      <c r="K187" s="238"/>
      <c r="L187" s="203">
        <f>'WS N - Sale of Plant Held'!S33</f>
        <v>0</v>
      </c>
      <c r="M187" s="237"/>
    </row>
    <row r="188" spans="2:15">
      <c r="B188" s="170"/>
      <c r="C188" s="171"/>
      <c r="D188" s="316"/>
      <c r="E188" s="160"/>
      <c r="F188" s="235"/>
      <c r="G188" s="203"/>
      <c r="H188" s="203"/>
      <c r="I188" s="317"/>
      <c r="J188" s="191"/>
      <c r="K188" s="238"/>
      <c r="L188" s="203"/>
      <c r="M188" s="237"/>
    </row>
    <row r="189" spans="2:15">
      <c r="B189" s="170">
        <f>+B187+1</f>
        <v>112</v>
      </c>
      <c r="C189" s="171"/>
      <c r="D189" s="316"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7"/>
      <c r="J189" s="191"/>
      <c r="K189" s="238"/>
      <c r="L189" s="203">
        <f>L187*-G170</f>
        <v>0</v>
      </c>
      <c r="M189" s="237"/>
    </row>
    <row r="190" spans="2:15" ht="15.75" thickBot="1">
      <c r="B190" s="170"/>
      <c r="C190" s="171"/>
      <c r="D190" s="241"/>
      <c r="G190" s="265"/>
      <c r="H190" s="318"/>
      <c r="I190" s="213"/>
      <c r="J190" s="213"/>
      <c r="K190" s="256"/>
      <c r="L190" s="265"/>
      <c r="M190" s="168"/>
    </row>
    <row r="191" spans="2:15" ht="15.75" thickBot="1">
      <c r="B191" s="170">
        <f>+B189+1</f>
        <v>113</v>
      </c>
      <c r="C191" s="171"/>
      <c r="D191" s="155" t="s">
        <v>49</v>
      </c>
      <c r="G191" s="319">
        <f>+G185+G183+G181+G166+G157+G151+G187+G189</f>
        <v>366282461.48626673</v>
      </c>
      <c r="L191" s="319">
        <f>+L185+L183+L181+L166+L157+L151+L187+L189</f>
        <v>378481541.94181567</v>
      </c>
      <c r="M191" s="168"/>
    </row>
    <row r="192" spans="2:15" ht="15.75" thickTop="1">
      <c r="B192" s="170"/>
      <c r="C192" s="171"/>
      <c r="D192" s="162" t="str">
        <f>"    (sum lns "&amp;B151&amp;", "&amp;B157&amp;", "&amp;B166&amp;", "&amp;B181&amp;", "&amp;B183&amp;", "&amp;B185&amp;", "&amp;B187&amp;", "&amp;B189&amp;")"</f>
        <v xml:space="preserve">    (sum lns 81, 86, 94, 108, 109, 110, 111, 112)</v>
      </c>
      <c r="F192" s="320"/>
      <c r="M192" s="168"/>
    </row>
    <row r="193" spans="2:16">
      <c r="B193" s="170"/>
      <c r="C193" s="171"/>
      <c r="F193" s="320"/>
      <c r="M193" s="168"/>
    </row>
    <row r="194" spans="2:16">
      <c r="B194" s="170"/>
      <c r="C194" s="171"/>
      <c r="D194" s="162"/>
      <c r="F194" s="270" t="str">
        <f>F115</f>
        <v>AEPTCo subsidiaries in PJM</v>
      </c>
      <c r="M194" s="269"/>
    </row>
    <row r="195" spans="2:16">
      <c r="B195" s="170"/>
      <c r="C195" s="171"/>
      <c r="D195" s="162"/>
      <c r="F195" s="270" t="str">
        <f>F116</f>
        <v>Transmission Cost of Service Formula Rate</v>
      </c>
      <c r="M195" s="269"/>
    </row>
    <row r="196" spans="2:16">
      <c r="B196" s="155"/>
      <c r="C196" s="171"/>
      <c r="F196" s="270" t="str">
        <f>F117</f>
        <v>Utilizing  Actual/Projected FERC Form 1 Data</v>
      </c>
      <c r="M196" s="219"/>
    </row>
    <row r="197" spans="2:16">
      <c r="B197" s="170"/>
      <c r="C197" s="171"/>
      <c r="E197" s="270"/>
      <c r="F197" s="270"/>
      <c r="G197" s="270"/>
      <c r="H197" s="270"/>
      <c r="I197" s="270"/>
      <c r="J197" s="270"/>
      <c r="K197" s="270"/>
      <c r="M197" s="168"/>
    </row>
    <row r="198" spans="2:16">
      <c r="B198" s="170"/>
      <c r="C198" s="171"/>
      <c r="E198" s="162"/>
      <c r="F198" s="270" t="str">
        <f>F119</f>
        <v>AEP Indiana Michigan Transmission Company</v>
      </c>
      <c r="G198" s="162"/>
      <c r="H198" s="162"/>
      <c r="I198" s="162"/>
      <c r="J198" s="162"/>
      <c r="K198" s="162"/>
      <c r="L198" s="162"/>
      <c r="M198" s="162"/>
    </row>
    <row r="199" spans="2:16">
      <c r="B199" s="170"/>
      <c r="C199" s="171"/>
      <c r="E199" s="162"/>
      <c r="F199" s="270"/>
      <c r="G199" s="162"/>
      <c r="H199" s="162"/>
      <c r="I199" s="162"/>
      <c r="J199" s="162"/>
      <c r="K199" s="162"/>
      <c r="L199" s="162"/>
      <c r="M199" s="162"/>
    </row>
    <row r="200" spans="2:16" ht="15.75">
      <c r="B200" s="170"/>
      <c r="C200" s="171"/>
      <c r="F200" s="273" t="s">
        <v>374</v>
      </c>
      <c r="H200" s="165"/>
      <c r="I200" s="165"/>
      <c r="J200" s="165"/>
      <c r="K200" s="165"/>
      <c r="L200" s="165"/>
      <c r="M200" s="168"/>
    </row>
    <row r="201" spans="2:16" ht="15.75">
      <c r="B201" s="170"/>
      <c r="C201" s="171"/>
      <c r="D201" s="321"/>
      <c r="E201" s="165"/>
      <c r="F201" s="165"/>
      <c r="G201" s="165"/>
      <c r="H201" s="165"/>
      <c r="I201" s="165"/>
      <c r="J201" s="165"/>
      <c r="K201" s="165"/>
      <c r="L201" s="165"/>
      <c r="M201" s="168"/>
    </row>
    <row r="202" spans="2:16" ht="15.75">
      <c r="B202" s="170" t="s">
        <v>418</v>
      </c>
      <c r="C202" s="171"/>
      <c r="D202" s="321"/>
      <c r="E202" s="165"/>
      <c r="F202" s="165"/>
      <c r="G202" s="165"/>
      <c r="H202" s="165"/>
      <c r="I202" s="165"/>
      <c r="J202" s="165"/>
      <c r="K202" s="165"/>
      <c r="L202" s="165"/>
      <c r="M202" s="168"/>
      <c r="N202" s="160"/>
      <c r="O202" s="160"/>
    </row>
    <row r="203" spans="2:16" ht="15.75" thickBot="1">
      <c r="B203" s="177" t="s">
        <v>419</v>
      </c>
      <c r="C203" s="178"/>
      <c r="D203" s="205" t="s">
        <v>512</v>
      </c>
      <c r="E203" s="181"/>
      <c r="F203" s="181"/>
      <c r="G203" s="181"/>
      <c r="H203" s="181"/>
      <c r="I203" s="181"/>
      <c r="J203" s="181"/>
      <c r="K203" s="160"/>
      <c r="M203" s="168"/>
      <c r="N203" s="160"/>
      <c r="O203" s="160"/>
      <c r="P203" s="173"/>
    </row>
    <row r="204" spans="2:16">
      <c r="B204" s="170">
        <f>+B191+1</f>
        <v>114</v>
      </c>
      <c r="C204" s="171"/>
      <c r="D204" s="181" t="s">
        <v>466</v>
      </c>
      <c r="E204" s="322" t="str">
        <f>"(ln "&amp;B63&amp;")"</f>
        <v>(ln 19)</v>
      </c>
      <c r="F204" s="323"/>
      <c r="H204" s="324"/>
      <c r="I204" s="324"/>
      <c r="J204" s="324"/>
      <c r="K204" s="324"/>
      <c r="L204" s="189">
        <f>+G63</f>
        <v>2856180896.0507693</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5"/>
      <c r="F205" s="325"/>
      <c r="G205" s="326"/>
      <c r="H205" s="325"/>
      <c r="I205" s="325"/>
      <c r="J205" s="325"/>
      <c r="K205" s="325"/>
      <c r="L205" s="143">
        <f>'WS A - Rate Base Support'!E62</f>
        <v>32663021.650769234</v>
      </c>
      <c r="M205" s="168"/>
      <c r="P205" s="173"/>
    </row>
    <row r="206" spans="2:16" ht="36" customHeight="1" thickBot="1">
      <c r="B206" s="170">
        <f>+B205+1</f>
        <v>116</v>
      </c>
      <c r="C206" s="171"/>
      <c r="D206" s="323"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3"/>
      <c r="F206" s="323"/>
      <c r="G206" s="231"/>
      <c r="H206" s="324"/>
      <c r="I206" s="324"/>
      <c r="J206" s="231"/>
      <c r="K206" s="324"/>
      <c r="L206" s="265">
        <f>'WS A - Rate Base Support'!C62</f>
        <v>0</v>
      </c>
      <c r="M206" s="168"/>
      <c r="P206" s="173"/>
    </row>
    <row r="207" spans="2:16">
      <c r="B207" s="170">
        <f>+B206+1</f>
        <v>117</v>
      </c>
      <c r="C207" s="171"/>
      <c r="D207" s="181" t="s">
        <v>513</v>
      </c>
      <c r="E207" s="327" t="str">
        <f>"(ln "&amp;B204&amp;" - ln "&amp;B205&amp;" - ln "&amp;B206&amp;")"</f>
        <v>(ln 114 - ln 115 - ln 116)</v>
      </c>
      <c r="F207" s="323"/>
      <c r="H207" s="324"/>
      <c r="I207" s="324"/>
      <c r="J207" s="231"/>
      <c r="K207" s="324"/>
      <c r="L207" s="189">
        <f>L204-L205-L206</f>
        <v>2823517874.4000001</v>
      </c>
      <c r="M207" s="168"/>
      <c r="P207" s="173"/>
    </row>
    <row r="208" spans="2:16" ht="9" customHeight="1">
      <c r="B208" s="170"/>
      <c r="C208" s="171"/>
      <c r="D208" s="160"/>
      <c r="E208" s="323"/>
      <c r="F208" s="323"/>
      <c r="G208" s="231"/>
      <c r="H208" s="324"/>
      <c r="I208" s="324"/>
      <c r="J208" s="231"/>
      <c r="K208" s="324"/>
      <c r="L208" s="325"/>
      <c r="M208" s="168"/>
      <c r="P208" s="173"/>
    </row>
    <row r="209" spans="2:24" ht="15.75" customHeight="1">
      <c r="B209" s="170">
        <f>+B207+1</f>
        <v>118</v>
      </c>
      <c r="C209" s="171"/>
      <c r="D209" s="181" t="s">
        <v>514</v>
      </c>
      <c r="E209" s="328" t="str">
        <f>"(ln "&amp;B207&amp;" / ln "&amp;B204&amp;")"</f>
        <v>(ln 117 / ln 114)</v>
      </c>
      <c r="F209" s="329"/>
      <c r="H209" s="330"/>
      <c r="I209" s="331"/>
      <c r="J209" s="331"/>
      <c r="K209" s="332" t="s">
        <v>443</v>
      </c>
      <c r="L209" s="333">
        <f>IF(L204=0,1,L207/L204)</f>
        <v>0.98856409210777496</v>
      </c>
      <c r="M209" s="168"/>
      <c r="P209" s="173"/>
    </row>
    <row r="210" spans="2:24" ht="15.75">
      <c r="B210" s="170"/>
      <c r="C210" s="171"/>
      <c r="D210" s="334"/>
      <c r="E210" s="181"/>
      <c r="F210" s="181"/>
      <c r="G210" s="335"/>
      <c r="H210" s="181"/>
      <c r="I210" s="194"/>
      <c r="J210" s="181"/>
      <c r="K210" s="181"/>
      <c r="L210" s="165"/>
      <c r="M210" s="168"/>
    </row>
    <row r="211" spans="2:24" ht="30">
      <c r="B211" s="170">
        <f>B209+1</f>
        <v>119</v>
      </c>
      <c r="C211" s="194"/>
      <c r="D211" s="205" t="s">
        <v>375</v>
      </c>
      <c r="E211" s="190" t="s">
        <v>147</v>
      </c>
      <c r="F211" s="190" t="s">
        <v>484</v>
      </c>
      <c r="G211" s="336" t="s">
        <v>506</v>
      </c>
      <c r="H211" s="271" t="s">
        <v>420</v>
      </c>
      <c r="I211" s="197"/>
      <c r="J211" s="168"/>
      <c r="K211" s="168"/>
      <c r="L211" s="168"/>
      <c r="M211" s="168"/>
    </row>
    <row r="212" spans="2:24">
      <c r="B212" s="170">
        <f t="shared" ref="B212:B217" si="8">+B211+1</f>
        <v>120</v>
      </c>
      <c r="C212" s="194"/>
      <c r="D212" s="232" t="s">
        <v>322</v>
      </c>
      <c r="E212" s="186"/>
      <c r="F212" s="186"/>
      <c r="G212" s="203"/>
      <c r="H212" s="203"/>
      <c r="I212" s="190"/>
      <c r="J212" s="191"/>
      <c r="K212" s="186"/>
      <c r="L212" s="203"/>
      <c r="M212" s="168"/>
    </row>
    <row r="213" spans="2:24">
      <c r="B213" s="170">
        <f t="shared" si="8"/>
        <v>121</v>
      </c>
      <c r="C213" s="194"/>
      <c r="D213" s="240" t="s">
        <v>429</v>
      </c>
      <c r="E213" s="186" t="s">
        <v>351</v>
      </c>
      <c r="F213" s="143">
        <v>0</v>
      </c>
      <c r="G213" s="142">
        <v>7061950.1188758444</v>
      </c>
      <c r="H213" s="337">
        <f>+F213+G213</f>
        <v>7061950.1188758444</v>
      </c>
      <c r="I213" s="194" t="s">
        <v>422</v>
      </c>
      <c r="J213" s="191">
        <f>L209</f>
        <v>0.98856409210777496</v>
      </c>
      <c r="K213" s="338"/>
      <c r="L213" s="256">
        <f>(F213+G213)*J213</f>
        <v>6981190.3077768926</v>
      </c>
      <c r="M213" s="168"/>
    </row>
    <row r="214" spans="2:24">
      <c r="B214" s="170">
        <f t="shared" si="8"/>
        <v>122</v>
      </c>
      <c r="C214" s="194"/>
      <c r="D214" s="240" t="s">
        <v>552</v>
      </c>
      <c r="E214" s="168" t="s">
        <v>264</v>
      </c>
      <c r="F214" s="143">
        <v>0</v>
      </c>
      <c r="G214" s="143">
        <v>0</v>
      </c>
      <c r="H214" s="256">
        <f>+F214+G214</f>
        <v>0</v>
      </c>
      <c r="I214" s="197" t="s">
        <v>428</v>
      </c>
      <c r="J214" s="191">
        <v>0</v>
      </c>
      <c r="K214" s="338"/>
      <c r="L214" s="256">
        <f>(F214+G214)*J214</f>
        <v>0</v>
      </c>
      <c r="M214" s="168"/>
    </row>
    <row r="215" spans="2:24">
      <c r="B215" s="170">
        <f t="shared" si="8"/>
        <v>123</v>
      </c>
      <c r="C215" s="194"/>
      <c r="D215" s="232" t="s">
        <v>322</v>
      </c>
      <c r="E215" s="186"/>
      <c r="F215" s="186"/>
      <c r="G215" s="203"/>
      <c r="H215" s="203"/>
      <c r="I215" s="190"/>
      <c r="J215" s="191"/>
      <c r="K215" s="186"/>
      <c r="L215" s="203"/>
      <c r="M215" s="168"/>
    </row>
    <row r="216" spans="2:24" ht="15.75" thickBot="1">
      <c r="B216" s="170">
        <f t="shared" si="8"/>
        <v>124</v>
      </c>
      <c r="C216" s="194"/>
      <c r="D216" s="240" t="s">
        <v>493</v>
      </c>
      <c r="E216" s="168" t="s">
        <v>216</v>
      </c>
      <c r="F216" s="141">
        <v>0</v>
      </c>
      <c r="G216" s="141">
        <v>0</v>
      </c>
      <c r="H216" s="265">
        <f>+F216+G216</f>
        <v>0</v>
      </c>
      <c r="I216" s="197" t="s">
        <v>428</v>
      </c>
      <c r="J216" s="191">
        <v>0</v>
      </c>
      <c r="K216" s="338"/>
      <c r="L216" s="265">
        <f>(F216+G216)*J216</f>
        <v>0</v>
      </c>
      <c r="M216" s="168"/>
    </row>
    <row r="217" spans="2:24" ht="15.75">
      <c r="B217" s="170">
        <f t="shared" si="8"/>
        <v>125</v>
      </c>
      <c r="C217" s="194"/>
      <c r="D217" s="240" t="s">
        <v>420</v>
      </c>
      <c r="E217" s="186" t="str">
        <f>"(sum lns "&amp;B213&amp;", "&amp;B214&amp;", &amp; "&amp;B216&amp;")"</f>
        <v>(sum lns 121, 122, &amp; 124)</v>
      </c>
      <c r="F217" s="256">
        <f>SUM(F212:F216)</f>
        <v>0</v>
      </c>
      <c r="G217" s="186">
        <f>SUM(G212:G216)</f>
        <v>7061950.1188758444</v>
      </c>
      <c r="H217" s="186">
        <f>SUM(H212:H216)</f>
        <v>7061950.1188758444</v>
      </c>
      <c r="I217" s="197"/>
      <c r="J217" s="168"/>
      <c r="K217" s="168"/>
      <c r="L217" s="256">
        <f>SUM(L212:L216)</f>
        <v>6981190.3077768926</v>
      </c>
      <c r="M217" s="223"/>
    </row>
    <row r="218" spans="2:24">
      <c r="B218" s="170"/>
      <c r="C218" s="194"/>
      <c r="D218" s="240" t="s">
        <v>416</v>
      </c>
      <c r="E218" s="186" t="s">
        <v>416</v>
      </c>
      <c r="F218" s="186"/>
      <c r="G218" s="160"/>
      <c r="H218" s="186"/>
      <c r="I218" s="270"/>
    </row>
    <row r="219" spans="2:24" ht="15.75">
      <c r="B219" s="170">
        <f>B217+1</f>
        <v>126</v>
      </c>
      <c r="C219" s="171"/>
      <c r="D219" s="241" t="s">
        <v>376</v>
      </c>
      <c r="E219" s="186"/>
      <c r="F219" s="186"/>
      <c r="G219" s="186"/>
      <c r="H219" s="186"/>
      <c r="I219" s="270"/>
      <c r="K219" s="339" t="s">
        <v>377</v>
      </c>
      <c r="L219" s="340">
        <f>L217/(F217+G217)</f>
        <v>0.98856409210777496</v>
      </c>
    </row>
    <row r="220" spans="2:24" ht="15.75">
      <c r="B220" s="170"/>
      <c r="C220" s="171"/>
      <c r="D220" s="241"/>
      <c r="E220" s="186"/>
      <c r="F220" s="186"/>
      <c r="G220" s="186"/>
      <c r="H220" s="186"/>
      <c r="I220" s="270"/>
      <c r="K220" s="339"/>
      <c r="L220" s="340"/>
    </row>
    <row r="221" spans="2:24" ht="15.75">
      <c r="B221" s="170"/>
      <c r="C221" s="171"/>
      <c r="D221" s="341" t="s">
        <v>159</v>
      </c>
      <c r="E221" s="186"/>
      <c r="F221" s="186"/>
      <c r="G221" s="186"/>
      <c r="H221" s="186"/>
      <c r="I221" s="197"/>
      <c r="J221" s="168"/>
      <c r="K221" s="168"/>
      <c r="L221" s="168"/>
      <c r="M221" s="168"/>
    </row>
    <row r="222" spans="2:24" ht="15.75" thickBot="1">
      <c r="B222" s="170">
        <f>B219+1</f>
        <v>127</v>
      </c>
      <c r="C222" s="171"/>
      <c r="D222" s="240" t="s">
        <v>490</v>
      </c>
      <c r="E222" s="186"/>
      <c r="F222" s="186"/>
      <c r="G222" s="186"/>
      <c r="H222" s="186"/>
      <c r="I222" s="186"/>
      <c r="J222" s="186"/>
      <c r="K222" s="186"/>
      <c r="L222" s="342" t="s">
        <v>444</v>
      </c>
      <c r="M222" s="168"/>
    </row>
    <row r="223" spans="2:24" ht="15.75">
      <c r="B223" s="170">
        <f>B222+1</f>
        <v>128</v>
      </c>
      <c r="C223" s="171"/>
      <c r="D223" s="186" t="s">
        <v>510</v>
      </c>
      <c r="E223" s="160" t="str">
        <f>"(Worksheet M, ln."&amp;'WS M - Cost of Capital'!A55&amp;", col."&amp;'WS M - Cost of Capital'!E47&amp;")"</f>
        <v>(Worksheet M, ln.36, col.(d))</v>
      </c>
      <c r="F223" s="186"/>
      <c r="G223" s="259"/>
      <c r="H223" s="259"/>
      <c r="I223" s="259"/>
      <c r="J223" s="276" t="s">
        <v>416</v>
      </c>
      <c r="K223" s="186"/>
      <c r="L223" s="343">
        <f>'WS M - Cost of Capital'!E55</f>
        <v>44810767.729999997</v>
      </c>
      <c r="M223" s="186"/>
      <c r="N223" s="160"/>
      <c r="O223" s="160"/>
      <c r="P223" s="160"/>
      <c r="Q223" s="160"/>
      <c r="R223" s="160"/>
      <c r="S223" s="160"/>
      <c r="T223" s="160"/>
      <c r="U223" s="160"/>
      <c r="V223" s="160"/>
      <c r="W223" s="160"/>
      <c r="X223" s="160"/>
    </row>
    <row r="224" spans="2:24">
      <c r="B224" s="170">
        <f t="shared" ref="B224:B230" si="9">B223+1</f>
        <v>129</v>
      </c>
      <c r="C224" s="171"/>
      <c r="D224" s="186" t="s">
        <v>511</v>
      </c>
      <c r="E224" s="160" t="str">
        <f>"(Worksheet M, ln. "&amp;'WS M - Cost of Capital'!A75&amp;", col."&amp;'WS M - Cost of Capital'!E47&amp;")"</f>
        <v>(Worksheet M, ln. 45, col.(d))</v>
      </c>
      <c r="F224" s="186"/>
      <c r="G224" s="259"/>
      <c r="H224" s="259"/>
      <c r="I224" s="259"/>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4" t="s">
        <v>29</v>
      </c>
      <c r="E225" s="186"/>
      <c r="F225" s="186"/>
      <c r="G225" s="186"/>
      <c r="H225" s="346"/>
      <c r="I225" s="1404"/>
      <c r="J225" s="186"/>
      <c r="K225" s="186"/>
      <c r="L225" s="203"/>
      <c r="M225" s="168"/>
    </row>
    <row r="226" spans="2:13">
      <c r="B226" s="170">
        <f t="shared" si="9"/>
        <v>131</v>
      </c>
      <c r="C226" s="171"/>
      <c r="D226" s="186" t="s">
        <v>30</v>
      </c>
      <c r="E226" s="160" t="str">
        <f>"(Worksheet M, ln. "&amp;'WS M - Cost of Capital'!A23&amp;", col."&amp;'WS M - Cost of Capital'!C8&amp;")"</f>
        <v>(Worksheet M, ln. 14, col.(b))</v>
      </c>
      <c r="F226" s="186"/>
      <c r="G226" s="181"/>
      <c r="H226" s="346"/>
      <c r="I226" s="186"/>
      <c r="J226" s="186"/>
      <c r="K226" s="186"/>
      <c r="L226" s="203">
        <f>'WS M - Cost of Capital'!C23</f>
        <v>1479027105.7840767</v>
      </c>
      <c r="M226" s="168"/>
    </row>
    <row r="227" spans="2:13">
      <c r="B227" s="170">
        <f t="shared" si="9"/>
        <v>132</v>
      </c>
      <c r="C227" s="171"/>
      <c r="D227" s="186" t="s">
        <v>173</v>
      </c>
      <c r="E227" s="160" t="str">
        <f>"(Worksheet M, ln. "&amp;'WS M - Cost of Capital'!A23&amp;", col."&amp;'WS M - Cost of Capital'!D8&amp;")"</f>
        <v>(Worksheet M, ln. 14, col.(c))</v>
      </c>
      <c r="F227" s="186"/>
      <c r="G227" s="186"/>
      <c r="H227" s="346"/>
      <c r="I227" s="186"/>
      <c r="J227" s="186"/>
      <c r="K227" s="186"/>
      <c r="L227" s="203">
        <f>'WS M - Cost of Capital'!D23</f>
        <v>0</v>
      </c>
      <c r="M227" s="168"/>
    </row>
    <row r="228" spans="2:13">
      <c r="B228" s="170">
        <f t="shared" si="9"/>
        <v>133</v>
      </c>
      <c r="C228" s="171"/>
      <c r="D228" s="186" t="s">
        <v>166</v>
      </c>
      <c r="E228" s="160" t="str">
        <f>"(Worksheet M, ln. "&amp;'WS M - Cost of Capital'!A23&amp;", col."&amp;'WS M - Cost of Capital'!E8&amp;")"</f>
        <v>(Worksheet M, ln. 14, col.(d))</v>
      </c>
      <c r="F228" s="186"/>
      <c r="G228" s="186"/>
      <c r="H228" s="346"/>
      <c r="I228" s="186"/>
      <c r="J228" s="186"/>
      <c r="K228" s="186"/>
      <c r="L228" s="203">
        <f>'WS M - Cost of Capital'!E23</f>
        <v>0</v>
      </c>
      <c r="M228" s="168"/>
    </row>
    <row r="229" spans="2:13">
      <c r="B229" s="170">
        <f t="shared" si="9"/>
        <v>134</v>
      </c>
      <c r="C229" s="171"/>
      <c r="D229" s="186" t="s">
        <v>172</v>
      </c>
      <c r="E229" s="160" t="str">
        <f>"(Worksheet M, ln. "&amp;'WS M - Cost of Capital'!A23&amp;", col."&amp;'WS M - Cost of Capital'!F8&amp;")"</f>
        <v>(Worksheet M, ln. 14, col.(e))</v>
      </c>
      <c r="F229" s="186"/>
      <c r="G229" s="186"/>
      <c r="H229" s="346"/>
      <c r="I229" s="186"/>
      <c r="J229" s="186"/>
      <c r="K229" s="186"/>
      <c r="L229" s="1230">
        <f>'WS M - Cost of Capital'!F23</f>
        <v>0</v>
      </c>
      <c r="M229" s="168"/>
    </row>
    <row r="230" spans="2:13">
      <c r="B230" s="170">
        <f t="shared" si="9"/>
        <v>135</v>
      </c>
      <c r="C230" s="171"/>
      <c r="D230" s="155" t="s">
        <v>31</v>
      </c>
      <c r="E230" s="345" t="str">
        <f>"(ln "&amp;B226&amp;" - ln "&amp;B227&amp;" - ln "&amp;B228&amp;" - ln "&amp;B229&amp;")"</f>
        <v>(ln 131 - ln 132 - ln 133 - ln 134)</v>
      </c>
      <c r="F230" s="347"/>
      <c r="G230" s="160"/>
      <c r="H230" s="181"/>
      <c r="I230" s="181"/>
      <c r="J230" s="181"/>
      <c r="K230" s="181"/>
      <c r="L230" s="203">
        <f>L226-L227-L228-L229</f>
        <v>1479027105.7840767</v>
      </c>
      <c r="M230" s="168"/>
    </row>
    <row r="231" spans="2:13" ht="15.75">
      <c r="B231" s="170"/>
      <c r="C231" s="171"/>
      <c r="D231" s="240"/>
      <c r="E231" s="186"/>
      <c r="F231" s="186"/>
      <c r="G231" s="1492" t="s">
        <v>274</v>
      </c>
      <c r="H231" s="1492"/>
      <c r="I231" s="186"/>
      <c r="J231" s="270" t="s">
        <v>445</v>
      </c>
      <c r="K231" s="186"/>
      <c r="L231" s="186"/>
      <c r="M231" s="168"/>
    </row>
    <row r="232" spans="2:13" ht="15.75" thickBot="1">
      <c r="B232" s="170"/>
      <c r="C232" s="171"/>
      <c r="D232" s="240"/>
      <c r="E232" s="160"/>
      <c r="F232" s="186"/>
      <c r="G232" s="348" t="s">
        <v>444</v>
      </c>
      <c r="H232" s="348" t="s">
        <v>446</v>
      </c>
      <c r="I232" s="342" t="s">
        <v>835</v>
      </c>
      <c r="J232" s="349" t="s">
        <v>554</v>
      </c>
      <c r="K232" s="186"/>
      <c r="L232" s="348" t="s">
        <v>447</v>
      </c>
      <c r="M232" s="168"/>
    </row>
    <row r="233" spans="2:13" ht="15.75">
      <c r="B233" s="170">
        <f>B230+1</f>
        <v>136</v>
      </c>
      <c r="C233" s="171"/>
      <c r="D233" s="240" t="str">
        <f>"  Long Term Debt  (Note S) Worksheet M, ln "&amp;'WS M - Cost of Capital'!A42&amp;", col. (g), ln "&amp;'WS M - Cost of Capital'!A57&amp;", col. "&amp;'WS M - Cost of Capital'!E47&amp;")"</f>
        <v xml:space="preserve">  Long Term Debt  (Note S) Worksheet M, ln 28, col. (g), ln 37, col. (d))</v>
      </c>
      <c r="E233" s="160"/>
      <c r="F233" s="276" t="s">
        <v>416</v>
      </c>
      <c r="G233" s="203">
        <f>'WS M - Cost of Capital'!H42</f>
        <v>1179611538.4615386</v>
      </c>
      <c r="H233" s="1341">
        <f>IF($G$236=0,0,G233/$G$236)</f>
        <v>0.4436900595779355</v>
      </c>
      <c r="I233" s="1329">
        <f>IF(H235&gt;E238,1-I235,H233)</f>
        <v>0.44999999999999996</v>
      </c>
      <c r="J233" s="350">
        <f>IF(G233=0,0,L223/G233)</f>
        <v>3.7987732629711862E-2</v>
      </c>
      <c r="K233" s="160"/>
      <c r="L233" s="1470">
        <f>IF(H235&gt;I235,I233*J233,H233*J233)</f>
        <v>1.7094479683370335E-2</v>
      </c>
      <c r="M233" s="168"/>
    </row>
    <row r="234" spans="2:13">
      <c r="B234" s="170">
        <f>B233+1</f>
        <v>137</v>
      </c>
      <c r="C234" s="171"/>
      <c r="D234" s="240" t="str">
        <f>"  Preferred Stock (ln "&amp;B227&amp;")"</f>
        <v xml:space="preserve">  Preferred Stock (ln 132)</v>
      </c>
      <c r="E234" s="160"/>
      <c r="F234" s="160"/>
      <c r="G234" s="203">
        <f>L227</f>
        <v>0</v>
      </c>
      <c r="H234" s="350">
        <f>IF($G$236=0,0,G234/$G$236)</f>
        <v>0</v>
      </c>
      <c r="I234" s="1329">
        <f>H234</f>
        <v>0</v>
      </c>
      <c r="J234" s="350">
        <f>IF(G234=0,0,L224/G234)</f>
        <v>0</v>
      </c>
      <c r="K234" s="160"/>
      <c r="L234" s="351">
        <f>H234*J234</f>
        <v>0</v>
      </c>
      <c r="M234" s="168"/>
    </row>
    <row r="235" spans="2:13" ht="15.75" thickBot="1">
      <c r="B235" s="170">
        <f>B234+1</f>
        <v>138</v>
      </c>
      <c r="C235" s="171"/>
      <c r="D235" s="240" t="str">
        <f>"  Common Stock (ln "&amp;B230&amp;")"</f>
        <v xml:space="preserve">  Common Stock (ln 135)</v>
      </c>
      <c r="E235" s="160"/>
      <c r="F235" s="160"/>
      <c r="G235" s="242">
        <f>L230</f>
        <v>1479027105.7840767</v>
      </c>
      <c r="H235" s="352">
        <f>IF($G$236=0,0,G235/$G$236)</f>
        <v>0.55630994042206461</v>
      </c>
      <c r="I235" s="1329">
        <f>IF(H235&gt;E238,E238,H235)</f>
        <v>0.55000000000000004</v>
      </c>
      <c r="J235" s="416">
        <v>0.10349999999999999</v>
      </c>
      <c r="K235" s="160"/>
      <c r="L235" s="353">
        <f>IF(H235&gt;E238,I235*J235,H235*J235)</f>
        <v>5.6925000000000003E-2</v>
      </c>
      <c r="M235" s="168"/>
    </row>
    <row r="236" spans="2:13" ht="15.75">
      <c r="B236" s="170">
        <f>B235+1</f>
        <v>139</v>
      </c>
      <c r="C236" s="171"/>
      <c r="D236" s="240" t="str">
        <f>" Total (Sum lns "&amp;B233&amp;" to "&amp;B235&amp;")"</f>
        <v xml:space="preserve"> Total (Sum lns 136 to 138)</v>
      </c>
      <c r="E236" s="160"/>
      <c r="F236" s="160"/>
      <c r="G236" s="203">
        <f>SUM(G233:G235)</f>
        <v>2658638644.245615</v>
      </c>
      <c r="H236" s="210">
        <f>SUM(H233:H235)</f>
        <v>1</v>
      </c>
      <c r="I236" s="186"/>
      <c r="J236" s="354"/>
      <c r="K236" s="258" t="s">
        <v>364</v>
      </c>
      <c r="L236" s="1313">
        <f>SUM(L233:L235)</f>
        <v>7.4019479683370332E-2</v>
      </c>
      <c r="M236" s="168"/>
    </row>
    <row r="237" spans="2:13" ht="15.75">
      <c r="B237" s="170"/>
      <c r="C237" s="171"/>
      <c r="D237" s="240"/>
      <c r="E237" s="160"/>
      <c r="F237" s="160"/>
      <c r="G237" s="203"/>
      <c r="H237" s="210"/>
      <c r="I237" s="186"/>
      <c r="J237" s="354"/>
      <c r="K237" s="258"/>
      <c r="L237" s="1313"/>
      <c r="M237" s="168"/>
    </row>
    <row r="238" spans="2:13">
      <c r="B238" s="193">
        <f>B236+1</f>
        <v>140</v>
      </c>
      <c r="C238" s="194"/>
      <c r="D238" s="240" t="s">
        <v>834</v>
      </c>
      <c r="E238" s="1329">
        <v>0.55000000000000004</v>
      </c>
      <c r="F238" s="186"/>
      <c r="G238" s="186"/>
      <c r="H238" s="186"/>
      <c r="I238" s="197"/>
      <c r="J238" s="168"/>
      <c r="K238" s="168"/>
      <c r="L238" s="168"/>
      <c r="M238" s="168"/>
    </row>
    <row r="239" spans="2:13" ht="15.75" hidden="1">
      <c r="B239" s="355"/>
      <c r="C239" s="356"/>
      <c r="D239" s="357" t="s">
        <v>225</v>
      </c>
      <c r="E239" s="358"/>
      <c r="F239" s="359"/>
      <c r="G239" s="360"/>
      <c r="H239" s="359"/>
      <c r="I239" s="359"/>
      <c r="J239" s="359"/>
      <c r="K239" s="361"/>
      <c r="L239" s="362"/>
      <c r="M239" s="168"/>
    </row>
    <row r="240" spans="2:13" ht="15.75" hidden="1" thickBot="1">
      <c r="B240" s="355">
        <f>B236+1</f>
        <v>140</v>
      </c>
      <c r="C240" s="356"/>
      <c r="D240" s="363" t="s">
        <v>490</v>
      </c>
      <c r="E240" s="359"/>
      <c r="F240" s="359"/>
      <c r="G240" s="359"/>
      <c r="H240" s="359"/>
      <c r="I240" s="359"/>
      <c r="J240" s="359"/>
      <c r="K240" s="359"/>
      <c r="L240" s="364" t="s">
        <v>444</v>
      </c>
      <c r="M240" s="168"/>
    </row>
    <row r="241" spans="2:21" hidden="1">
      <c r="B241" s="355">
        <f t="shared" ref="B241:B248" si="10">+B240+1</f>
        <v>141</v>
      </c>
      <c r="C241" s="356"/>
      <c r="D241" s="359" t="s">
        <v>510</v>
      </c>
      <c r="E241" s="360" t="str">
        <f>"(Worksheet Q, ln. "&amp;'WS Q Cap Structure'!A199&amp;")"</f>
        <v>(Worksheet Q, ln. 132)</v>
      </c>
      <c r="F241" s="359"/>
      <c r="G241" s="359"/>
      <c r="H241" s="359"/>
      <c r="I241" s="359"/>
      <c r="J241" s="359"/>
      <c r="K241" s="359"/>
      <c r="L241" s="365">
        <f>'WS Q Cap Structure'!J199</f>
        <v>0</v>
      </c>
      <c r="M241" s="168"/>
    </row>
    <row r="242" spans="2:21" hidden="1">
      <c r="B242" s="355">
        <f t="shared" si="10"/>
        <v>142</v>
      </c>
      <c r="C242" s="356"/>
      <c r="D242" s="359" t="s">
        <v>511</v>
      </c>
      <c r="E242" s="360" t="str">
        <f>"(Worksheet Q, ln. "&amp;'WS Q Cap Structure'!A203&amp;")"</f>
        <v>(Worksheet Q, ln. 134)</v>
      </c>
      <c r="F242" s="359"/>
      <c r="G242" s="359"/>
      <c r="H242" s="359"/>
      <c r="I242" s="359"/>
      <c r="J242" s="359"/>
      <c r="K242" s="359"/>
      <c r="L242" s="365">
        <f>'WS Q Cap Structure'!J203</f>
        <v>0</v>
      </c>
      <c r="M242" s="168"/>
    </row>
    <row r="243" spans="2:21" hidden="1">
      <c r="B243" s="355">
        <f t="shared" si="10"/>
        <v>143</v>
      </c>
      <c r="C243" s="356"/>
      <c r="D243" s="366" t="s">
        <v>29</v>
      </c>
      <c r="E243" s="359"/>
      <c r="F243" s="359"/>
      <c r="G243" s="359"/>
      <c r="H243" s="367"/>
      <c r="I243" s="359"/>
      <c r="J243" s="359"/>
      <c r="K243" s="359"/>
      <c r="L243" s="365"/>
      <c r="M243" s="168"/>
    </row>
    <row r="244" spans="2:21" hidden="1">
      <c r="B244" s="355">
        <f t="shared" si="10"/>
        <v>144</v>
      </c>
      <c r="C244" s="356"/>
      <c r="D244" s="359" t="s">
        <v>30</v>
      </c>
      <c r="E244" s="360" t="str">
        <f>"(Worksheet Q, ln. "&amp;'WS Q Cap Structure'!A206&amp;")"</f>
        <v>(Worksheet Q, ln. 135)</v>
      </c>
      <c r="F244" s="359"/>
      <c r="G244" s="368"/>
      <c r="H244" s="369"/>
      <c r="I244" s="359"/>
      <c r="J244" s="359"/>
      <c r="K244" s="359"/>
      <c r="L244" s="370" t="e">
        <f>'WS Q Cap Structure'!J206</f>
        <v>#DIV/0!</v>
      </c>
      <c r="M244" s="168"/>
    </row>
    <row r="245" spans="2:21" hidden="1">
      <c r="B245" s="355">
        <f t="shared" si="10"/>
        <v>145</v>
      </c>
      <c r="C245" s="356"/>
      <c r="D245" s="359" t="s">
        <v>173</v>
      </c>
      <c r="E245" s="360" t="str">
        <f>"(Worksheet Q, ln. "&amp;'WS Q Cap Structure'!A207&amp;")"</f>
        <v>(Worksheet Q, ln. 136)</v>
      </c>
      <c r="F245" s="359"/>
      <c r="G245" s="359"/>
      <c r="H245" s="369"/>
      <c r="I245" s="359"/>
      <c r="J245" s="359"/>
      <c r="K245" s="359"/>
      <c r="L245" s="370">
        <f>'WS Q Cap Structure'!J207</f>
        <v>0</v>
      </c>
      <c r="M245" s="168"/>
    </row>
    <row r="246" spans="2:21" hidden="1">
      <c r="B246" s="355">
        <f>+B245+1</f>
        <v>146</v>
      </c>
      <c r="C246" s="356"/>
      <c r="D246" s="359" t="s">
        <v>166</v>
      </c>
      <c r="E246" s="360" t="str">
        <f>"(Worksheet Q, ln. "&amp;'WS Q Cap Structure'!A208&amp;")"</f>
        <v>(Worksheet Q, ln. 137)</v>
      </c>
      <c r="F246" s="359"/>
      <c r="G246" s="359"/>
      <c r="H246" s="369"/>
      <c r="I246" s="359"/>
      <c r="J246" s="359"/>
      <c r="K246" s="359"/>
      <c r="L246" s="370" t="e">
        <f>'WS Q Cap Structure'!J208</f>
        <v>#DIV/0!</v>
      </c>
      <c r="M246" s="168"/>
    </row>
    <row r="247" spans="2:21" ht="15.75" hidden="1" thickBot="1">
      <c r="B247" s="355">
        <f t="shared" si="10"/>
        <v>147</v>
      </c>
      <c r="C247" s="356"/>
      <c r="D247" s="359" t="s">
        <v>172</v>
      </c>
      <c r="E247" s="360" t="str">
        <f>"(Worksheet Q, ln. "&amp;'WS Q Cap Structure'!A209&amp;")"</f>
        <v>(Worksheet Q, ln. 138)</v>
      </c>
      <c r="F247" s="359"/>
      <c r="G247" s="359"/>
      <c r="H247" s="369"/>
      <c r="I247" s="359"/>
      <c r="J247" s="371"/>
      <c r="K247" s="359"/>
      <c r="L247" s="372" t="e">
        <f>'WS Q Cap Structure'!J209</f>
        <v>#DIV/0!</v>
      </c>
      <c r="M247" s="168"/>
    </row>
    <row r="248" spans="2:21" hidden="1">
      <c r="B248" s="355">
        <f t="shared" si="10"/>
        <v>148</v>
      </c>
      <c r="C248" s="356"/>
      <c r="D248" s="360" t="s">
        <v>31</v>
      </c>
      <c r="E248" s="359" t="str">
        <f>"(ln "&amp;B244&amp;" - ln "&amp;B245&amp;" - ln "&amp;B246&amp;" - ln "&amp;B247&amp;")"</f>
        <v>(ln 144 - ln 145 - ln 146 - ln 147)</v>
      </c>
      <c r="F248" s="373"/>
      <c r="G248" s="360"/>
      <c r="H248" s="368"/>
      <c r="I248" s="368"/>
      <c r="J248" s="368"/>
      <c r="K248" s="368"/>
      <c r="L248" s="365" t="e">
        <f>+L244-L245-L246-L247</f>
        <v>#DIV/0!</v>
      </c>
      <c r="M248" s="168"/>
    </row>
    <row r="249" spans="2:21" ht="15.75" hidden="1">
      <c r="B249" s="355"/>
      <c r="C249" s="356"/>
      <c r="D249" s="363"/>
      <c r="E249" s="359"/>
      <c r="F249" s="359"/>
      <c r="G249" s="1491"/>
      <c r="H249" s="1491"/>
      <c r="I249" s="374"/>
      <c r="J249" s="360"/>
      <c r="K249" s="359"/>
      <c r="L249" s="359"/>
      <c r="M249" s="168"/>
    </row>
    <row r="250" spans="2:21" ht="15.75" hidden="1" thickBot="1">
      <c r="B250" s="355">
        <f>+B248+1</f>
        <v>149</v>
      </c>
      <c r="C250" s="356"/>
      <c r="D250" s="363"/>
      <c r="E250" s="360"/>
      <c r="F250" s="360"/>
      <c r="G250" s="375" t="s">
        <v>446</v>
      </c>
      <c r="H250" s="375" t="s">
        <v>444</v>
      </c>
      <c r="I250" s="374"/>
      <c r="J250" s="376" t="s">
        <v>445</v>
      </c>
      <c r="K250" s="359"/>
      <c r="L250" s="375" t="s">
        <v>447</v>
      </c>
      <c r="M250" s="168"/>
      <c r="N250" s="162"/>
      <c r="O250" s="162"/>
      <c r="P250" s="162"/>
      <c r="Q250" s="162"/>
      <c r="R250" s="162"/>
      <c r="S250" s="162"/>
      <c r="T250" s="162"/>
      <c r="U250" s="162"/>
    </row>
    <row r="251" spans="2:21" hidden="1">
      <c r="B251" s="355">
        <f>+B250+1</f>
        <v>150</v>
      </c>
      <c r="C251" s="356"/>
      <c r="D251" s="363" t="str">
        <f>"  Long Term Debt   (Worksheet Q, ln "&amp;'WS Q Cap Structure'!A213&amp;")"</f>
        <v xml:space="preserve">  Long Term Debt   (Worksheet Q, ln 140)</v>
      </c>
      <c r="E251" s="360"/>
      <c r="F251" s="360"/>
      <c r="G251" s="377" t="e">
        <f>'WS Q Cap Structure'!J218</f>
        <v>#DIV/0!</v>
      </c>
      <c r="H251" s="365" t="e">
        <f>$H$254*G251</f>
        <v>#DIV/0!</v>
      </c>
      <c r="I251" s="378"/>
      <c r="J251" s="371" t="e">
        <f>+L241/H251</f>
        <v>#DIV/0!</v>
      </c>
      <c r="K251" s="360"/>
      <c r="L251" s="379" t="e">
        <f>+G251*J251</f>
        <v>#DIV/0!</v>
      </c>
      <c r="M251" s="380"/>
      <c r="N251" s="162"/>
      <c r="O251" s="162"/>
      <c r="P251" s="162"/>
      <c r="Q251" s="162"/>
      <c r="R251" s="162"/>
      <c r="S251" s="162"/>
      <c r="T251" s="162"/>
      <c r="U251" s="162"/>
    </row>
    <row r="252" spans="2:21" hidden="1">
      <c r="B252" s="355">
        <f>+B251+1</f>
        <v>151</v>
      </c>
      <c r="C252" s="356"/>
      <c r="D252" s="363" t="str">
        <f>"  Preferred Stock (Worksheet Q, ln "&amp;'WS Q Cap Structure'!A214&amp;")"</f>
        <v xml:space="preserve">  Preferred Stock (Worksheet Q, ln 141)</v>
      </c>
      <c r="E252" s="360"/>
      <c r="F252" s="360"/>
      <c r="G252" s="377" t="e">
        <f>'WS Q Cap Structure'!J219</f>
        <v>#DIV/0!</v>
      </c>
      <c r="H252" s="365" t="e">
        <f>$H$254*G252</f>
        <v>#DIV/0!</v>
      </c>
      <c r="I252" s="378"/>
      <c r="J252" s="371">
        <f>IF(L242=0,0,+L242/H252)</f>
        <v>0</v>
      </c>
      <c r="K252" s="360"/>
      <c r="L252" s="381" t="e">
        <f>+G252*J252</f>
        <v>#DIV/0!</v>
      </c>
      <c r="M252" s="168"/>
    </row>
    <row r="253" spans="2:21" ht="15.75" hidden="1" thickBot="1">
      <c r="B253" s="355">
        <f>+B252+1</f>
        <v>152</v>
      </c>
      <c r="C253" s="356"/>
      <c r="D253" s="363" t="str">
        <f>"  Common Stock (Worksheet Q, ln "&amp;'WS Q Cap Structure'!A215&amp;")"</f>
        <v xml:space="preserve">  Common Stock (Worksheet Q, ln 142)</v>
      </c>
      <c r="E253" s="360"/>
      <c r="F253" s="360"/>
      <c r="G253" s="382" t="e">
        <f>'WS Q Cap Structure'!J220</f>
        <v>#DIV/0!</v>
      </c>
      <c r="H253" s="383" t="e">
        <f>$H$254*G253</f>
        <v>#DIV/0!</v>
      </c>
      <c r="I253" s="378"/>
      <c r="J253" s="151">
        <v>0.1149</v>
      </c>
      <c r="K253" s="360"/>
      <c r="L253" s="384" t="e">
        <f>+G253*J253</f>
        <v>#DIV/0!</v>
      </c>
      <c r="M253" s="168"/>
    </row>
    <row r="254" spans="2:21" ht="15.75" hidden="1">
      <c r="B254" s="355">
        <f>+B253+1</f>
        <v>153</v>
      </c>
      <c r="C254" s="356"/>
      <c r="D254" s="363" t="str">
        <f>" Total (Worksheet Q, ln "&amp;'WS Q Cap Structure'!A216&amp;")"</f>
        <v xml:space="preserve"> Total (Worksheet Q, ln 143)</v>
      </c>
      <c r="E254" s="360"/>
      <c r="F254" s="360"/>
      <c r="G254" s="360"/>
      <c r="H254" s="365" t="e">
        <f>'WS Q Cap Structure'!J216</f>
        <v>#DIV/0!</v>
      </c>
      <c r="I254" s="374"/>
      <c r="J254" s="385"/>
      <c r="K254" s="386" t="s">
        <v>364</v>
      </c>
      <c r="L254" s="387" t="e">
        <f>SUM(L251:L253)</f>
        <v>#DIV/0!</v>
      </c>
      <c r="M254" s="388"/>
    </row>
    <row r="255" spans="2:21">
      <c r="B255" s="170"/>
      <c r="C255" s="209"/>
      <c r="D255" s="313"/>
      <c r="E255" s="262"/>
      <c r="F255" s="389"/>
      <c r="G255" s="389"/>
      <c r="H255" s="389"/>
      <c r="I255" s="389"/>
      <c r="J255" s="390"/>
      <c r="K255" s="390"/>
      <c r="L255" s="390"/>
      <c r="M255" s="391"/>
      <c r="N255" s="181"/>
      <c r="O255" s="181"/>
      <c r="P255" s="181"/>
      <c r="Q255" s="181"/>
      <c r="R255" s="181"/>
      <c r="S255" s="181"/>
      <c r="T255" s="181"/>
      <c r="U255" s="181"/>
    </row>
    <row r="256" spans="2:21">
      <c r="B256" s="170"/>
      <c r="C256" s="209"/>
      <c r="D256" s="209"/>
      <c r="E256" s="173"/>
      <c r="F256" s="173"/>
      <c r="G256" s="173"/>
      <c r="H256" s="173"/>
      <c r="I256" s="173"/>
      <c r="J256" s="168"/>
      <c r="K256" s="165"/>
      <c r="L256" s="168"/>
      <c r="M256" s="165"/>
      <c r="N256" s="181"/>
      <c r="O256" s="181"/>
      <c r="P256" s="181"/>
      <c r="Q256" s="181"/>
      <c r="R256" s="181"/>
      <c r="S256" s="181"/>
      <c r="T256" s="181"/>
      <c r="U256" s="181"/>
    </row>
    <row r="257" spans="2:21" ht="15.75">
      <c r="B257" s="268"/>
      <c r="C257" s="171"/>
      <c r="D257" s="157"/>
      <c r="E257" s="157"/>
      <c r="F257" s="270" t="str">
        <f>F194</f>
        <v>AEPTCo subsidiaries in PJM</v>
      </c>
      <c r="G257" s="158"/>
      <c r="H257" s="168"/>
      <c r="I257" s="168"/>
      <c r="J257" s="168"/>
      <c r="K257" s="165"/>
      <c r="L257" s="168"/>
      <c r="M257" s="219"/>
      <c r="N257" s="181"/>
      <c r="O257" s="181"/>
      <c r="P257" s="181"/>
      <c r="Q257" s="181"/>
      <c r="R257" s="181"/>
      <c r="S257" s="181"/>
      <c r="T257" s="181"/>
      <c r="U257" s="181"/>
    </row>
    <row r="258" spans="2:21">
      <c r="B258" s="268"/>
      <c r="C258" s="171"/>
      <c r="D258" s="392"/>
      <c r="E258" s="171"/>
      <c r="F258" s="270" t="str">
        <f>F195</f>
        <v>Transmission Cost of Service Formula Rate</v>
      </c>
      <c r="G258" s="168"/>
      <c r="H258" s="168"/>
      <c r="I258" s="168"/>
      <c r="J258" s="168"/>
      <c r="K258" s="165"/>
      <c r="L258" s="184"/>
      <c r="M258" s="393"/>
      <c r="N258" s="181"/>
      <c r="O258" s="181"/>
      <c r="P258" s="181"/>
      <c r="Q258" s="181"/>
      <c r="R258" s="181"/>
      <c r="S258" s="181"/>
      <c r="T258" s="181"/>
      <c r="U258" s="181"/>
    </row>
    <row r="259" spans="2:21" ht="15.75">
      <c r="B259" s="268"/>
      <c r="C259" s="171"/>
      <c r="D259" s="392"/>
      <c r="E259" s="273"/>
      <c r="F259" s="270" t="str">
        <f>F196</f>
        <v>Utilizing  Actual/Projected FERC Form 1 Data</v>
      </c>
      <c r="G259" s="168"/>
      <c r="H259" s="168"/>
      <c r="I259" s="168"/>
      <c r="J259" s="168"/>
      <c r="K259" s="165"/>
      <c r="L259" s="184"/>
      <c r="M259" s="219"/>
      <c r="N259" s="181"/>
      <c r="O259" s="181"/>
      <c r="P259" s="181"/>
      <c r="Q259" s="181"/>
      <c r="R259" s="181"/>
      <c r="S259" s="181"/>
      <c r="T259" s="181"/>
      <c r="U259" s="181"/>
    </row>
    <row r="260" spans="2:21" ht="15.75">
      <c r="B260" s="170"/>
      <c r="C260" s="171"/>
      <c r="D260" s="392"/>
      <c r="E260" s="273"/>
      <c r="F260" s="270"/>
      <c r="G260" s="168"/>
      <c r="H260" s="168"/>
      <c r="I260" s="168"/>
      <c r="J260" s="168"/>
      <c r="K260" s="165"/>
      <c r="L260" s="184"/>
      <c r="M260" s="160"/>
      <c r="N260" s="181"/>
      <c r="O260" s="181"/>
      <c r="P260" s="181"/>
      <c r="Q260" s="181"/>
      <c r="R260" s="181"/>
      <c r="S260" s="181"/>
      <c r="T260" s="181"/>
      <c r="U260" s="181"/>
    </row>
    <row r="261" spans="2:21" ht="15.75">
      <c r="B261" s="170"/>
      <c r="C261" s="171"/>
      <c r="D261" s="392"/>
      <c r="E261" s="273"/>
      <c r="F261" s="270" t="str">
        <f>F198</f>
        <v>AEP Indiana Michigan Transmission Company</v>
      </c>
      <c r="G261" s="168"/>
      <c r="H261" s="168"/>
      <c r="I261" s="168"/>
      <c r="J261" s="168"/>
      <c r="K261" s="165"/>
      <c r="L261" s="184"/>
      <c r="M261" s="160"/>
      <c r="N261" s="181"/>
      <c r="O261" s="181"/>
      <c r="P261" s="181"/>
      <c r="Q261" s="181"/>
      <c r="R261" s="181"/>
      <c r="S261" s="181"/>
      <c r="T261" s="181"/>
      <c r="U261" s="181"/>
    </row>
    <row r="262" spans="2:21" ht="15.75">
      <c r="B262" s="170"/>
      <c r="C262" s="171"/>
      <c r="D262" s="392"/>
      <c r="E262" s="273"/>
      <c r="F262" s="270"/>
      <c r="G262" s="168"/>
      <c r="H262" s="168"/>
      <c r="I262" s="168"/>
      <c r="J262" s="168"/>
      <c r="K262" s="165"/>
      <c r="L262" s="184"/>
      <c r="M262" s="160"/>
      <c r="N262" s="181"/>
      <c r="O262" s="181"/>
      <c r="P262" s="181"/>
      <c r="Q262" s="181"/>
      <c r="R262" s="181"/>
      <c r="S262" s="181"/>
      <c r="T262" s="181"/>
      <c r="U262" s="181"/>
    </row>
    <row r="263" spans="2:21" ht="15.75">
      <c r="B263" s="394" t="s">
        <v>476</v>
      </c>
      <c r="C263" s="178"/>
      <c r="D263" s="205"/>
      <c r="E263" s="181"/>
      <c r="F263" s="394" t="s">
        <v>475</v>
      </c>
      <c r="G263" s="186"/>
      <c r="H263" s="186"/>
      <c r="I263" s="186"/>
      <c r="J263" s="186" t="s">
        <v>625</v>
      </c>
      <c r="K263" s="181"/>
      <c r="L263" s="186"/>
      <c r="M263" s="160"/>
      <c r="N263" s="181"/>
      <c r="O263" s="181"/>
      <c r="P263" s="181"/>
      <c r="Q263" s="181"/>
      <c r="R263" s="181"/>
      <c r="S263" s="181"/>
      <c r="T263" s="181"/>
      <c r="U263" s="181"/>
    </row>
    <row r="264" spans="2:21">
      <c r="C264" s="178"/>
      <c r="L264" s="184"/>
      <c r="M264" s="160"/>
      <c r="N264" s="181"/>
      <c r="O264" s="181"/>
      <c r="P264" s="181"/>
      <c r="Q264" s="181"/>
      <c r="R264" s="181"/>
      <c r="S264" s="181"/>
      <c r="T264" s="181"/>
      <c r="U264" s="181"/>
    </row>
    <row r="265" spans="2:21">
      <c r="B265" s="170"/>
      <c r="C265" s="171"/>
      <c r="D265" s="162" t="s">
        <v>334</v>
      </c>
      <c r="E265" s="194"/>
      <c r="F265" s="194"/>
      <c r="G265" s="186"/>
      <c r="H265" s="186"/>
      <c r="I265" s="186"/>
      <c r="J265" s="186"/>
      <c r="K265" s="181"/>
      <c r="L265" s="186"/>
      <c r="M265" s="181"/>
      <c r="N265" s="181"/>
      <c r="O265" s="181"/>
      <c r="P265" s="181"/>
      <c r="Q265" s="181"/>
      <c r="R265" s="181"/>
      <c r="S265" s="181"/>
      <c r="T265" s="181"/>
      <c r="U265" s="181"/>
    </row>
    <row r="266" spans="2:21">
      <c r="B266" s="155"/>
      <c r="D266" s="205"/>
      <c r="E266" s="181"/>
      <c r="F266" s="181"/>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395" t="s">
        <v>448</v>
      </c>
      <c r="C268" s="178"/>
      <c r="D268" s="205" t="s">
        <v>276</v>
      </c>
      <c r="E268" s="181"/>
      <c r="F268" s="181"/>
      <c r="G268" s="186"/>
      <c r="H268" s="186"/>
      <c r="I268" s="186"/>
      <c r="J268" s="186"/>
      <c r="K268" s="181"/>
      <c r="L268" s="186"/>
      <c r="M268" s="181"/>
      <c r="N268" s="181"/>
      <c r="O268" s="181"/>
      <c r="P268" s="181"/>
      <c r="Q268" s="181"/>
      <c r="R268" s="181"/>
      <c r="S268" s="181"/>
      <c r="T268" s="181"/>
      <c r="U268" s="181"/>
    </row>
    <row r="269" spans="2:21">
      <c r="B269" s="395"/>
      <c r="C269" s="271"/>
      <c r="D269" s="205" t="s">
        <v>174</v>
      </c>
      <c r="E269" s="181"/>
      <c r="F269" s="181"/>
      <c r="G269" s="181"/>
      <c r="H269" s="181"/>
      <c r="I269" s="181"/>
      <c r="J269" s="181"/>
      <c r="K269" s="181"/>
      <c r="L269" s="181"/>
      <c r="M269" s="181"/>
      <c r="N269" s="181"/>
      <c r="O269" s="181"/>
      <c r="P269" s="181"/>
      <c r="Q269" s="181"/>
      <c r="R269" s="181"/>
      <c r="S269" s="181"/>
      <c r="T269" s="181"/>
      <c r="U269" s="181"/>
    </row>
    <row r="270" spans="2:21">
      <c r="B270" s="396"/>
      <c r="C270" s="160"/>
      <c r="D270" s="155" t="s">
        <v>175</v>
      </c>
      <c r="E270" s="397"/>
      <c r="F270" s="397"/>
      <c r="G270" s="181"/>
      <c r="H270" s="181"/>
      <c r="I270" s="181"/>
      <c r="J270" s="181"/>
      <c r="K270" s="181"/>
      <c r="L270" s="181"/>
      <c r="M270" s="181"/>
      <c r="N270" s="181"/>
      <c r="O270" s="181"/>
      <c r="P270" s="181"/>
      <c r="Q270" s="181"/>
      <c r="R270" s="181"/>
      <c r="S270" s="181"/>
      <c r="T270" s="181"/>
      <c r="U270" s="181"/>
    </row>
    <row r="271" spans="2:21">
      <c r="B271" s="396"/>
      <c r="C271" s="160"/>
      <c r="D271" s="205" t="s">
        <v>277</v>
      </c>
      <c r="E271" s="181"/>
      <c r="F271" s="181"/>
      <c r="G271" s="181"/>
      <c r="H271" s="181"/>
      <c r="I271" s="181"/>
      <c r="J271" s="181"/>
      <c r="K271" s="181"/>
      <c r="L271" s="181"/>
      <c r="M271" s="181"/>
      <c r="N271" s="181"/>
      <c r="O271" s="181"/>
      <c r="P271" s="181"/>
      <c r="Q271" s="181"/>
      <c r="R271" s="181"/>
      <c r="S271" s="181"/>
      <c r="T271" s="181"/>
      <c r="U271" s="181"/>
    </row>
    <row r="272" spans="2:21">
      <c r="B272" s="193"/>
      <c r="C272" s="194"/>
      <c r="D272" s="205" t="s">
        <v>278</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176</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177</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613</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600</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614</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601</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283</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390"/>
      <c r="E280" s="181"/>
      <c r="F280" s="181"/>
      <c r="G280" s="181"/>
      <c r="H280" s="181"/>
      <c r="I280" s="181"/>
      <c r="J280" s="181"/>
      <c r="K280" s="181"/>
      <c r="L280" s="205"/>
      <c r="M280" s="181"/>
      <c r="N280" s="181"/>
      <c r="O280" s="181"/>
      <c r="P280" s="181"/>
      <c r="Q280" s="181"/>
      <c r="R280" s="181"/>
      <c r="S280" s="181"/>
      <c r="T280" s="181"/>
      <c r="U280" s="181"/>
    </row>
    <row r="281" spans="2:21" ht="15" customHeight="1">
      <c r="B281" s="193" t="s">
        <v>449</v>
      </c>
      <c r="C281" s="194"/>
      <c r="D281" s="1493" t="s">
        <v>615</v>
      </c>
      <c r="E281" s="1487"/>
      <c r="F281" s="1487"/>
      <c r="G281" s="1487"/>
      <c r="H281" s="1487"/>
      <c r="I281" s="1487"/>
      <c r="J281" s="1487"/>
      <c r="K281" s="1487"/>
      <c r="L281" s="205"/>
      <c r="M281" s="181"/>
      <c r="N281" s="181"/>
      <c r="O281" s="181"/>
      <c r="P281" s="181"/>
      <c r="Q281" s="181"/>
      <c r="R281" s="181"/>
      <c r="S281" s="181"/>
      <c r="T281" s="181"/>
      <c r="U281" s="181"/>
    </row>
    <row r="282" spans="2:21">
      <c r="B282" s="193"/>
      <c r="C282" s="194"/>
      <c r="D282" s="1487"/>
      <c r="E282" s="1487"/>
      <c r="F282" s="1487"/>
      <c r="G282" s="1487"/>
      <c r="H282" s="1487"/>
      <c r="I282" s="1487"/>
      <c r="J282" s="1487"/>
      <c r="K282" s="1487"/>
      <c r="L282" s="205"/>
      <c r="M282" s="181"/>
      <c r="N282" s="181"/>
      <c r="O282" s="181"/>
      <c r="P282" s="181"/>
      <c r="Q282" s="181"/>
      <c r="R282" s="181"/>
      <c r="S282" s="181"/>
      <c r="T282" s="181"/>
      <c r="U282" s="181"/>
    </row>
    <row r="283" spans="2:21">
      <c r="E283" s="181"/>
      <c r="F283" s="181"/>
      <c r="G283" s="181"/>
      <c r="H283" s="181"/>
      <c r="I283" s="181"/>
      <c r="J283" s="181"/>
      <c r="K283" s="181"/>
      <c r="L283" s="181"/>
      <c r="M283" s="181"/>
      <c r="N283" s="181"/>
      <c r="O283" s="181"/>
      <c r="P283" s="181"/>
      <c r="Q283" s="181"/>
      <c r="R283" s="181"/>
      <c r="S283" s="181"/>
      <c r="T283" s="181"/>
      <c r="U283" s="181"/>
    </row>
    <row r="284" spans="2:21">
      <c r="B284" s="193" t="s">
        <v>450</v>
      </c>
      <c r="C284" s="194"/>
      <c r="D284" s="391" t="s">
        <v>802</v>
      </c>
      <c r="E284" s="181"/>
      <c r="F284" s="181"/>
      <c r="G284" s="181"/>
      <c r="H284" s="181"/>
      <c r="I284" s="181"/>
      <c r="J284" s="181"/>
      <c r="K284" s="181"/>
      <c r="L284" s="181"/>
      <c r="M284" s="181"/>
      <c r="N284" s="181"/>
      <c r="O284" s="181"/>
      <c r="P284" s="181"/>
      <c r="Q284" s="181"/>
      <c r="R284" s="181"/>
      <c r="S284" s="181"/>
      <c r="T284" s="181"/>
      <c r="U284" s="181"/>
    </row>
    <row r="285" spans="2:21">
      <c r="B285" s="193"/>
      <c r="C285" s="194"/>
      <c r="D285" s="391"/>
      <c r="E285" s="181"/>
      <c r="F285" s="181"/>
      <c r="G285" s="181"/>
      <c r="H285" s="181"/>
      <c r="I285" s="181"/>
      <c r="J285" s="181"/>
      <c r="K285" s="181"/>
      <c r="L285" s="181"/>
      <c r="M285" s="181"/>
      <c r="N285" s="181"/>
      <c r="O285" s="181"/>
      <c r="P285" s="181"/>
      <c r="Q285" s="181"/>
      <c r="R285" s="181"/>
      <c r="S285" s="181"/>
      <c r="T285" s="181"/>
      <c r="U285" s="181"/>
    </row>
    <row r="286" spans="2:21">
      <c r="B286" s="193" t="s">
        <v>451</v>
      </c>
      <c r="C286" s="194"/>
      <c r="D286" s="205" t="s">
        <v>32</v>
      </c>
      <c r="E286" s="181"/>
      <c r="F286" s="181"/>
      <c r="G286" s="181"/>
      <c r="H286" s="181"/>
      <c r="I286" s="181"/>
      <c r="J286" s="181"/>
      <c r="K286" s="181"/>
      <c r="L286" s="181"/>
      <c r="M286" s="181"/>
      <c r="N286" s="181"/>
      <c r="O286" s="181"/>
      <c r="P286" s="205"/>
      <c r="Q286" s="205"/>
      <c r="R286" s="181"/>
      <c r="S286" s="181"/>
      <c r="T286" s="181"/>
      <c r="U286" s="181"/>
    </row>
    <row r="287" spans="2:21">
      <c r="B287" s="193"/>
      <c r="C287" s="194"/>
      <c r="D287" s="205" t="s">
        <v>289</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295</v>
      </c>
      <c r="E288" s="181"/>
      <c r="F288" s="181"/>
      <c r="G288" s="181"/>
      <c r="H288" s="181"/>
      <c r="I288" s="181"/>
      <c r="J288" s="181"/>
      <c r="K288" s="181"/>
      <c r="L288" s="323"/>
      <c r="M288" s="181"/>
      <c r="N288" s="181"/>
      <c r="O288" s="181"/>
      <c r="P288" s="205"/>
      <c r="Q288" s="205"/>
      <c r="R288" s="181"/>
      <c r="S288" s="181"/>
      <c r="T288" s="181"/>
      <c r="U288" s="181"/>
    </row>
    <row r="289" spans="2:21">
      <c r="B289" s="193"/>
      <c r="C289" s="194"/>
      <c r="D289" s="205" t="s">
        <v>164</v>
      </c>
      <c r="E289" s="181"/>
      <c r="F289" s="181"/>
      <c r="G289" s="181"/>
      <c r="H289" s="181"/>
      <c r="I289" s="181"/>
      <c r="J289" s="181"/>
      <c r="K289" s="181"/>
      <c r="L289" s="323"/>
      <c r="M289" s="181"/>
      <c r="N289" s="181"/>
      <c r="O289" s="181"/>
      <c r="P289" s="205"/>
      <c r="Q289" s="181"/>
      <c r="R289" s="181"/>
      <c r="S289" s="181"/>
      <c r="T289" s="181"/>
      <c r="U289" s="181"/>
    </row>
    <row r="290" spans="2:21">
      <c r="B290" s="193"/>
      <c r="C290" s="194"/>
      <c r="D290" s="205" t="s">
        <v>602</v>
      </c>
      <c r="E290" s="181"/>
      <c r="F290" s="181"/>
      <c r="G290" s="181"/>
      <c r="H290" s="181"/>
      <c r="I290" s="181"/>
      <c r="J290" s="181"/>
      <c r="K290" s="181"/>
      <c r="L290" s="323"/>
      <c r="M290" s="181"/>
      <c r="N290" s="181"/>
      <c r="O290" s="181"/>
      <c r="P290" s="205"/>
      <c r="Q290" s="181"/>
      <c r="R290" s="181"/>
      <c r="S290" s="181"/>
      <c r="T290" s="181"/>
      <c r="U290" s="181"/>
    </row>
    <row r="291" spans="2:21">
      <c r="B291" s="193"/>
      <c r="C291" s="194"/>
      <c r="D291" s="205" t="s">
        <v>603</v>
      </c>
      <c r="E291" s="181"/>
      <c r="F291" s="181"/>
      <c r="G291" s="181"/>
      <c r="H291" s="181"/>
      <c r="I291" s="181"/>
      <c r="J291" s="181"/>
      <c r="K291" s="181"/>
      <c r="L291" s="323"/>
      <c r="M291" s="181"/>
      <c r="N291" s="181"/>
      <c r="O291" s="181"/>
      <c r="P291" s="205"/>
      <c r="Q291" s="181"/>
      <c r="R291" s="181"/>
      <c r="S291" s="181"/>
      <c r="T291" s="181"/>
      <c r="U291" s="181"/>
    </row>
    <row r="292" spans="2:21">
      <c r="B292" s="193"/>
      <c r="C292" s="194"/>
      <c r="D292" s="205" t="s">
        <v>604</v>
      </c>
      <c r="E292" s="181"/>
      <c r="F292" s="181"/>
      <c r="G292" s="181"/>
      <c r="H292" s="181"/>
      <c r="I292" s="181"/>
      <c r="J292" s="181"/>
      <c r="K292" s="181"/>
      <c r="L292" s="323"/>
      <c r="M292" s="181"/>
      <c r="N292" s="181"/>
      <c r="O292" s="181"/>
      <c r="P292" s="205"/>
      <c r="Q292" s="181"/>
      <c r="R292" s="181"/>
      <c r="S292" s="181"/>
      <c r="T292" s="181"/>
      <c r="U292" s="181"/>
    </row>
    <row r="293" spans="2:21">
      <c r="B293" s="193"/>
      <c r="C293" s="194"/>
      <c r="D293" s="205" t="s">
        <v>110</v>
      </c>
      <c r="E293" s="181"/>
      <c r="F293" s="181"/>
      <c r="G293" s="181"/>
      <c r="H293" s="181"/>
      <c r="I293" s="181"/>
      <c r="J293" s="181"/>
      <c r="K293" s="181"/>
      <c r="L293" s="323"/>
      <c r="M293" s="181"/>
      <c r="N293" s="181"/>
      <c r="O293" s="181"/>
      <c r="P293" s="205"/>
      <c r="Q293" s="181"/>
      <c r="R293" s="181"/>
      <c r="S293" s="181"/>
      <c r="T293" s="181"/>
      <c r="U293" s="181"/>
    </row>
    <row r="294" spans="2:21">
      <c r="B294" s="193"/>
      <c r="C294" s="194"/>
      <c r="D294" s="205"/>
      <c r="E294" s="181"/>
      <c r="F294" s="181"/>
      <c r="G294" s="181"/>
      <c r="H294" s="181"/>
      <c r="I294" s="181"/>
      <c r="J294" s="181"/>
      <c r="K294" s="181"/>
      <c r="L294" s="323"/>
      <c r="M294" s="181"/>
      <c r="N294" s="181"/>
      <c r="O294" s="181"/>
      <c r="P294" s="205"/>
      <c r="Q294" s="181"/>
      <c r="R294" s="181"/>
      <c r="S294" s="181"/>
      <c r="T294" s="181"/>
      <c r="U294" s="181"/>
    </row>
    <row r="295" spans="2:21">
      <c r="B295" s="193" t="s">
        <v>452</v>
      </c>
      <c r="C295" s="205"/>
      <c r="D295"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98"/>
      <c r="F295" s="398"/>
      <c r="G295" s="398"/>
      <c r="H295" s="398"/>
      <c r="I295" s="398"/>
      <c r="J295" s="398"/>
      <c r="K295" s="398"/>
      <c r="L295" s="399"/>
      <c r="M295" s="181"/>
      <c r="N295" s="181"/>
      <c r="O295" s="181"/>
      <c r="P295" s="181"/>
      <c r="Q295" s="181"/>
      <c r="R295" s="181"/>
      <c r="S295" s="181"/>
      <c r="T295" s="181"/>
      <c r="U295" s="181"/>
    </row>
    <row r="296" spans="2:21">
      <c r="B296" s="193"/>
      <c r="C296" s="205"/>
      <c r="D296" s="400"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43"/>
      <c r="F296" s="243"/>
      <c r="G296" s="243"/>
      <c r="H296" s="243"/>
      <c r="I296" s="243"/>
      <c r="J296" s="243"/>
      <c r="K296" s="243"/>
      <c r="L296" s="399"/>
      <c r="M296" s="181"/>
      <c r="N296" s="181"/>
      <c r="O296" s="181"/>
      <c r="P296" s="181"/>
      <c r="Q296" s="181"/>
      <c r="R296" s="181"/>
      <c r="S296" s="181"/>
      <c r="T296" s="181"/>
      <c r="U296" s="181"/>
    </row>
    <row r="297" spans="2:21">
      <c r="B297" s="193"/>
      <c r="C297" s="205"/>
      <c r="D297" s="401" t="str">
        <f>+"2)  Costs of Transmission of Electricity by Others, as described in Note H."</f>
        <v>2)  Costs of Transmission of Electricity by Others, as described in Note H.</v>
      </c>
      <c r="E297" s="398"/>
      <c r="F297" s="398"/>
      <c r="G297" s="398"/>
      <c r="H297" s="398"/>
      <c r="I297" s="398"/>
      <c r="J297" s="398"/>
      <c r="K297" s="398"/>
      <c r="L297" s="399"/>
      <c r="M297" s="181"/>
      <c r="N297" s="181"/>
      <c r="O297" s="181"/>
      <c r="P297" s="181"/>
      <c r="Q297" s="181"/>
      <c r="R297" s="181"/>
      <c r="S297" s="181"/>
      <c r="T297" s="181"/>
      <c r="U297" s="181"/>
    </row>
    <row r="298" spans="2:21">
      <c r="B298" s="193"/>
      <c r="C298" s="205"/>
      <c r="D298" s="400" t="str">
        <f>+"3)  The impact of state regulatory deferrals and amortizations, as shown on line  "&amp;B133&amp;""</f>
        <v>3)  The impact of state regulatory deferrals and amortizations, as shown on line  65</v>
      </c>
      <c r="E298" s="243"/>
      <c r="F298" s="243"/>
      <c r="G298" s="243"/>
      <c r="H298" s="243"/>
      <c r="I298" s="243"/>
      <c r="J298" s="243"/>
      <c r="K298" s="243"/>
      <c r="L298" s="399"/>
      <c r="M298" s="181"/>
      <c r="N298" s="181"/>
      <c r="O298" s="181"/>
      <c r="P298" s="181"/>
      <c r="Q298" s="181"/>
      <c r="R298" s="181"/>
      <c r="S298" s="181"/>
      <c r="T298" s="181"/>
      <c r="U298" s="181"/>
    </row>
    <row r="299" spans="2:21">
      <c r="B299" s="193"/>
      <c r="C299" s="243"/>
      <c r="D299" s="401" t="str">
        <f>"4) All A&amp;G Expenses, as shown on line "&amp;B147&amp;"."</f>
        <v>4) All A&amp;G Expenses, as shown on line 78.</v>
      </c>
      <c r="E299" s="398"/>
      <c r="F299" s="398"/>
      <c r="G299" s="398"/>
      <c r="H299" s="398"/>
      <c r="I299" s="398"/>
      <c r="J299" s="398"/>
      <c r="K299" s="398"/>
      <c r="L299" s="399"/>
      <c r="M299" s="181"/>
      <c r="N299" s="181"/>
      <c r="O299" s="181"/>
      <c r="P299" s="181"/>
      <c r="Q299" s="181"/>
      <c r="R299" s="181"/>
      <c r="S299" s="181"/>
      <c r="T299" s="181"/>
      <c r="U299" s="181"/>
    </row>
    <row r="300" spans="2:21">
      <c r="B300" s="193"/>
      <c r="C300" s="194"/>
      <c r="D300" s="400"/>
      <c r="E300" s="402"/>
      <c r="F300" s="402"/>
      <c r="G300" s="402"/>
      <c r="H300" s="402"/>
      <c r="I300" s="402"/>
      <c r="J300" s="402"/>
      <c r="K300" s="402"/>
      <c r="L300" s="181"/>
      <c r="M300" s="181"/>
      <c r="N300" s="181"/>
      <c r="O300" s="181"/>
      <c r="P300" s="181"/>
      <c r="Q300" s="181"/>
      <c r="R300" s="181"/>
      <c r="S300" s="181"/>
      <c r="T300" s="181"/>
      <c r="U300" s="181"/>
    </row>
    <row r="301" spans="2:21">
      <c r="B301" s="395" t="s">
        <v>453</v>
      </c>
      <c r="C301" s="271"/>
      <c r="D301" s="403"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403"/>
      <c r="F301" s="403"/>
      <c r="G301" s="403"/>
      <c r="H301" s="403"/>
      <c r="I301" s="403"/>
      <c r="J301" s="403"/>
      <c r="K301" s="403"/>
      <c r="L301" s="160"/>
      <c r="M301" s="181"/>
      <c r="N301" s="181"/>
      <c r="O301" s="181"/>
      <c r="P301" s="181"/>
      <c r="Q301" s="181"/>
      <c r="R301" s="181"/>
      <c r="S301" s="181"/>
      <c r="T301" s="181"/>
      <c r="U301" s="181"/>
    </row>
    <row r="302" spans="2:21">
      <c r="B302" s="396"/>
      <c r="C302" s="160"/>
      <c r="D302" s="403" t="s">
        <v>509</v>
      </c>
      <c r="E302" s="403"/>
      <c r="F302" s="403"/>
      <c r="G302" s="403"/>
      <c r="H302" s="403"/>
      <c r="I302" s="403"/>
      <c r="J302" s="403"/>
      <c r="K302" s="403"/>
      <c r="L302" s="160"/>
      <c r="M302" s="181"/>
      <c r="N302" s="181"/>
      <c r="O302" s="181"/>
      <c r="P302" s="181"/>
      <c r="Q302" s="181"/>
      <c r="R302" s="181"/>
      <c r="S302" s="181"/>
      <c r="T302" s="181"/>
      <c r="U302" s="181"/>
    </row>
    <row r="303" spans="2:21">
      <c r="B303" s="396"/>
      <c r="C303" s="160"/>
      <c r="D303" s="403" t="str">
        <f>"expense is included on line "&amp;B185&amp;"."</f>
        <v>expense is included on line 110.</v>
      </c>
      <c r="E303" s="403"/>
      <c r="F303" s="403"/>
      <c r="G303" s="403"/>
      <c r="H303" s="403"/>
      <c r="I303" s="403"/>
      <c r="J303" s="403"/>
      <c r="K303" s="403"/>
      <c r="L303" s="160"/>
      <c r="M303" s="181"/>
      <c r="N303" s="181"/>
      <c r="O303" s="181"/>
      <c r="P303" s="181"/>
      <c r="Q303" s="181"/>
      <c r="R303" s="181"/>
      <c r="S303" s="181"/>
      <c r="T303" s="181"/>
      <c r="U303" s="181"/>
    </row>
    <row r="304" spans="2:21" ht="21" customHeight="1">
      <c r="B304" s="396"/>
      <c r="C304" s="160"/>
      <c r="D304" s="403"/>
      <c r="E304" s="403"/>
      <c r="F304" s="403"/>
      <c r="G304" s="403"/>
      <c r="H304" s="403"/>
      <c r="I304" s="403"/>
      <c r="J304" s="403"/>
      <c r="K304" s="403"/>
      <c r="L304" s="160"/>
      <c r="M304" s="160"/>
      <c r="N304" s="181"/>
      <c r="O304" s="181"/>
      <c r="P304" s="181"/>
      <c r="Q304" s="181"/>
      <c r="R304" s="181"/>
      <c r="S304" s="181"/>
      <c r="T304" s="181"/>
      <c r="U304" s="181"/>
    </row>
    <row r="305" spans="2:21" ht="14.25" customHeight="1">
      <c r="B305" s="395" t="s">
        <v>454</v>
      </c>
      <c r="C305" s="160"/>
      <c r="D305" s="1479"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79"/>
      <c r="F305" s="1479"/>
      <c r="G305" s="1479"/>
      <c r="H305" s="1479"/>
      <c r="I305" s="1479"/>
      <c r="J305" s="1479"/>
      <c r="K305" s="1479"/>
      <c r="L305" s="160"/>
      <c r="M305" s="160"/>
      <c r="N305" s="181"/>
      <c r="O305" s="181"/>
      <c r="P305" s="181"/>
      <c r="Q305" s="181"/>
      <c r="R305" s="181"/>
      <c r="S305" s="181"/>
      <c r="T305" s="181"/>
      <c r="U305" s="181"/>
    </row>
    <row r="306" spans="2:21" ht="45" customHeight="1">
      <c r="B306" s="395"/>
      <c r="C306" s="160"/>
      <c r="D306" s="1479"/>
      <c r="E306" s="1479"/>
      <c r="F306" s="1479"/>
      <c r="G306" s="1479"/>
      <c r="H306" s="1479"/>
      <c r="I306" s="1479"/>
      <c r="J306" s="1479"/>
      <c r="K306" s="1479"/>
      <c r="L306" s="160"/>
      <c r="M306" s="160"/>
      <c r="N306" s="181"/>
      <c r="O306" s="181"/>
      <c r="P306" s="181"/>
      <c r="Q306" s="181"/>
      <c r="R306" s="181"/>
      <c r="S306" s="181"/>
      <c r="T306" s="181"/>
      <c r="U306" s="181"/>
    </row>
    <row r="307" spans="2:21" ht="5.25" hidden="1" customHeight="1">
      <c r="B307" s="395"/>
      <c r="C307" s="160"/>
      <c r="D307" s="1479"/>
      <c r="E307" s="1479"/>
      <c r="F307" s="1479"/>
      <c r="G307" s="1479"/>
      <c r="H307" s="1479"/>
      <c r="I307" s="1479"/>
      <c r="J307" s="1479"/>
      <c r="K307" s="1479"/>
      <c r="L307" s="160"/>
      <c r="M307" s="160"/>
      <c r="N307" s="181"/>
      <c r="O307" s="181"/>
      <c r="P307" s="181"/>
      <c r="Q307" s="181"/>
      <c r="R307" s="181"/>
      <c r="S307" s="181"/>
      <c r="T307" s="181"/>
      <c r="U307" s="181"/>
    </row>
    <row r="308" spans="2:21">
      <c r="B308" s="395"/>
      <c r="C308" s="160"/>
      <c r="D308" s="400"/>
      <c r="E308" s="403"/>
      <c r="F308" s="403"/>
      <c r="G308" s="403"/>
      <c r="H308" s="403"/>
      <c r="I308" s="403"/>
      <c r="J308" s="403"/>
      <c r="K308" s="403"/>
      <c r="L308" s="160"/>
      <c r="M308" s="160"/>
      <c r="N308" s="181"/>
      <c r="O308" s="181"/>
      <c r="P308" s="181"/>
      <c r="Q308" s="181"/>
      <c r="R308" s="181"/>
      <c r="S308" s="181"/>
      <c r="T308" s="181"/>
      <c r="U308" s="181"/>
    </row>
    <row r="309" spans="2:21">
      <c r="B309" s="395" t="s">
        <v>455</v>
      </c>
      <c r="C309" s="160"/>
      <c r="D309" s="1482"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82"/>
      <c r="F309" s="1482"/>
      <c r="G309" s="1482"/>
      <c r="H309" s="1482"/>
      <c r="I309" s="1482"/>
      <c r="J309" s="1482"/>
      <c r="K309" s="1482"/>
      <c r="L309" s="160"/>
      <c r="M309" s="160"/>
      <c r="N309" s="181"/>
      <c r="O309" s="181"/>
      <c r="P309" s="181"/>
      <c r="Q309" s="181"/>
      <c r="R309" s="181"/>
      <c r="S309" s="181"/>
      <c r="T309" s="181"/>
      <c r="U309" s="181"/>
    </row>
    <row r="310" spans="2:21">
      <c r="B310" s="395"/>
      <c r="C310" s="160"/>
      <c r="D310" s="1482"/>
      <c r="E310" s="1482"/>
      <c r="F310" s="1482"/>
      <c r="G310" s="1482"/>
      <c r="H310" s="1482"/>
      <c r="I310" s="1482"/>
      <c r="J310" s="1482"/>
      <c r="K310" s="1482"/>
      <c r="L310" s="160"/>
      <c r="M310" s="160"/>
      <c r="N310" s="181"/>
      <c r="O310" s="181"/>
      <c r="P310" s="181"/>
      <c r="Q310" s="181"/>
      <c r="R310" s="181"/>
      <c r="S310" s="181"/>
      <c r="T310" s="181"/>
      <c r="U310" s="181"/>
    </row>
    <row r="311" spans="2:21">
      <c r="B311" s="395"/>
      <c r="C311" s="160"/>
      <c r="D311" s="1483"/>
      <c r="E311" s="1483"/>
      <c r="F311" s="1483"/>
      <c r="G311" s="1483"/>
      <c r="H311" s="1483"/>
      <c r="I311" s="1483"/>
      <c r="J311" s="1483"/>
      <c r="K311" s="1483"/>
      <c r="L311" s="160"/>
      <c r="M311" s="160"/>
      <c r="N311" s="181"/>
      <c r="O311" s="181"/>
      <c r="P311" s="181"/>
      <c r="Q311" s="181"/>
      <c r="R311" s="181"/>
      <c r="S311" s="181"/>
      <c r="T311" s="181"/>
      <c r="U311" s="181"/>
    </row>
    <row r="312" spans="2:21">
      <c r="B312" s="395"/>
      <c r="C312" s="160"/>
      <c r="D312" s="1484"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84"/>
      <c r="F312" s="1484"/>
      <c r="G312" s="1484"/>
      <c r="H312" s="1484"/>
      <c r="I312" s="1484"/>
      <c r="J312" s="1484"/>
      <c r="K312" s="404"/>
      <c r="L312" s="160"/>
      <c r="M312" s="160"/>
      <c r="N312" s="181"/>
      <c r="O312" s="181"/>
      <c r="P312" s="181"/>
      <c r="Q312" s="181"/>
      <c r="R312" s="181"/>
      <c r="S312" s="181"/>
      <c r="T312" s="181"/>
      <c r="U312" s="181"/>
    </row>
    <row r="313" spans="2:21">
      <c r="B313" s="395"/>
      <c r="C313" s="160"/>
      <c r="D313" s="1484"/>
      <c r="E313" s="1484"/>
      <c r="F313" s="1484"/>
      <c r="G313" s="1484"/>
      <c r="H313" s="1484"/>
      <c r="I313" s="1484"/>
      <c r="J313" s="1484"/>
      <c r="K313" s="404"/>
      <c r="L313" s="160"/>
      <c r="M313" s="160"/>
      <c r="N313" s="181"/>
      <c r="O313" s="181"/>
      <c r="P313" s="181"/>
      <c r="Q313" s="181"/>
      <c r="R313" s="181"/>
      <c r="S313" s="181"/>
      <c r="T313" s="181"/>
      <c r="U313" s="181"/>
    </row>
    <row r="314" spans="2:21" ht="22.5" customHeight="1">
      <c r="B314" s="395"/>
      <c r="C314" s="160"/>
      <c r="D314" s="403" t="str">
        <f>"The company records referenced on line"&amp;B150&amp;" is the "&amp;F9&amp;" general ledger."</f>
        <v>The company records referenced on line80 is the AEP Indiana Michigan Transmission Company general ledger.</v>
      </c>
      <c r="E314" s="405"/>
      <c r="F314" s="405"/>
      <c r="G314" s="405"/>
      <c r="H314" s="405"/>
      <c r="I314" s="405"/>
      <c r="J314" s="405"/>
      <c r="K314" s="404"/>
      <c r="L314" s="160"/>
      <c r="M314" s="160"/>
      <c r="N314" s="181"/>
      <c r="O314" s="181"/>
      <c r="P314" s="181"/>
      <c r="Q314" s="181"/>
      <c r="R314" s="181"/>
      <c r="S314" s="181"/>
      <c r="T314" s="181"/>
      <c r="U314" s="181"/>
    </row>
    <row r="315" spans="2:21">
      <c r="B315" s="395"/>
      <c r="C315" s="160"/>
      <c r="D315" s="405"/>
      <c r="E315" s="405"/>
      <c r="F315" s="405"/>
      <c r="G315" s="405"/>
      <c r="H315" s="405"/>
      <c r="I315" s="405"/>
      <c r="J315" s="405"/>
      <c r="K315" s="405"/>
      <c r="L315" s="160"/>
      <c r="M315" s="160"/>
      <c r="N315" s="181"/>
      <c r="O315" s="181"/>
      <c r="P315" s="181"/>
      <c r="Q315" s="181"/>
      <c r="R315" s="181"/>
      <c r="S315" s="181"/>
      <c r="T315" s="181"/>
      <c r="U315" s="181"/>
    </row>
    <row r="316" spans="2:21">
      <c r="B316" s="395" t="s">
        <v>456</v>
      </c>
      <c r="C316" s="160"/>
      <c r="D316" s="403" t="s">
        <v>605</v>
      </c>
      <c r="E316" s="209"/>
      <c r="F316" s="209"/>
      <c r="G316" s="209"/>
      <c r="H316" s="209"/>
      <c r="I316" s="209"/>
      <c r="J316" s="209"/>
      <c r="K316" s="209"/>
      <c r="L316" s="160"/>
      <c r="M316" s="160"/>
      <c r="N316" s="181"/>
      <c r="O316" s="181"/>
      <c r="P316" s="181"/>
      <c r="Q316" s="181"/>
      <c r="R316" s="181"/>
      <c r="S316" s="181"/>
      <c r="T316" s="181"/>
      <c r="U316" s="181"/>
    </row>
    <row r="317" spans="2:21">
      <c r="B317" s="395"/>
      <c r="C317" s="160"/>
      <c r="D317" s="406"/>
      <c r="E317" s="406"/>
      <c r="F317" s="406"/>
      <c r="G317" s="406"/>
      <c r="H317" s="406"/>
      <c r="I317" s="406"/>
      <c r="J317" s="406"/>
      <c r="K317" s="406"/>
      <c r="L317" s="160"/>
      <c r="M317" s="160"/>
      <c r="N317" s="181"/>
      <c r="O317" s="181"/>
      <c r="P317" s="181"/>
      <c r="Q317" s="181"/>
      <c r="R317" s="181"/>
      <c r="S317" s="181"/>
      <c r="T317" s="181"/>
      <c r="U317" s="181"/>
    </row>
    <row r="318" spans="2:21" ht="15" customHeight="1">
      <c r="B318" s="395" t="s">
        <v>457</v>
      </c>
      <c r="C318" s="160"/>
      <c r="D318" s="1486" t="s">
        <v>9</v>
      </c>
      <c r="E318" s="1487"/>
      <c r="F318" s="1487"/>
      <c r="G318" s="1487"/>
      <c r="H318" s="1487"/>
      <c r="I318" s="1487"/>
      <c r="J318" s="1487"/>
      <c r="K318" s="403"/>
      <c r="L318" s="160"/>
      <c r="M318" s="160"/>
      <c r="N318" s="181"/>
      <c r="O318" s="181"/>
      <c r="P318" s="181"/>
      <c r="Q318" s="181"/>
      <c r="R318" s="181"/>
      <c r="S318" s="181"/>
      <c r="T318" s="181"/>
      <c r="U318" s="181"/>
    </row>
    <row r="319" spans="2:21">
      <c r="B319" s="395"/>
      <c r="C319" s="160"/>
      <c r="D319" s="1488"/>
      <c r="E319" s="1488"/>
      <c r="F319" s="1488"/>
      <c r="G319" s="1488"/>
      <c r="H319" s="1488"/>
      <c r="I319" s="1488"/>
      <c r="J319" s="1488"/>
      <c r="K319" s="406"/>
      <c r="L319" s="160"/>
      <c r="M319" s="160"/>
      <c r="N319" s="181"/>
      <c r="O319" s="181"/>
      <c r="P319" s="181"/>
      <c r="Q319" s="181"/>
      <c r="R319" s="181"/>
      <c r="S319" s="181"/>
      <c r="T319" s="181"/>
      <c r="U319" s="181"/>
    </row>
    <row r="320" spans="2:21">
      <c r="B320" s="395"/>
      <c r="C320" s="160"/>
      <c r="D320" s="1487"/>
      <c r="E320" s="1487"/>
      <c r="F320" s="1487"/>
      <c r="G320" s="1487"/>
      <c r="H320" s="1487"/>
      <c r="I320" s="1487"/>
      <c r="J320" s="1487"/>
      <c r="K320" s="403"/>
      <c r="L320" s="160"/>
      <c r="M320" s="160"/>
      <c r="N320" s="181"/>
      <c r="O320" s="181"/>
      <c r="P320" s="181"/>
      <c r="Q320" s="181"/>
      <c r="R320" s="181"/>
      <c r="S320" s="181"/>
      <c r="T320" s="181"/>
      <c r="U320" s="181"/>
    </row>
    <row r="321" spans="2:21">
      <c r="B321" s="395"/>
      <c r="C321" s="160"/>
      <c r="D321" s="160"/>
      <c r="E321" s="160"/>
      <c r="F321" s="160"/>
      <c r="G321" s="160"/>
      <c r="H321" s="160"/>
      <c r="I321" s="160"/>
      <c r="J321" s="160"/>
      <c r="K321" s="160"/>
      <c r="L321" s="160"/>
      <c r="M321" s="160"/>
      <c r="N321" s="181"/>
      <c r="O321" s="181"/>
      <c r="P321" s="181"/>
      <c r="Q321" s="181"/>
      <c r="R321" s="181"/>
      <c r="S321" s="181"/>
      <c r="T321" s="181"/>
      <c r="U321" s="181"/>
    </row>
    <row r="322" spans="2:21" ht="15" customHeight="1">
      <c r="B322" s="193" t="s">
        <v>458</v>
      </c>
      <c r="C322" s="160"/>
      <c r="D322" s="1480" t="s">
        <v>800</v>
      </c>
      <c r="E322" s="1481"/>
      <c r="F322" s="1481"/>
      <c r="G322" s="1481"/>
      <c r="H322" s="1481"/>
      <c r="I322" s="1481"/>
      <c r="J322" s="1481"/>
      <c r="K322" s="1481"/>
      <c r="L322" s="160"/>
      <c r="M322" s="160"/>
      <c r="N322" s="181"/>
      <c r="O322" s="181"/>
      <c r="P322" s="181"/>
      <c r="Q322" s="181"/>
      <c r="R322" s="181"/>
      <c r="S322" s="181"/>
      <c r="T322" s="181"/>
      <c r="U322" s="181"/>
    </row>
    <row r="323" spans="2:21">
      <c r="B323" s="395"/>
      <c r="C323" s="160"/>
      <c r="D323" s="160"/>
      <c r="E323" s="160"/>
      <c r="F323" s="160"/>
      <c r="G323" s="160"/>
      <c r="H323" s="160"/>
      <c r="I323" s="160"/>
      <c r="J323" s="160"/>
      <c r="K323" s="160"/>
      <c r="L323" s="160"/>
      <c r="M323" s="160"/>
      <c r="N323" s="181"/>
      <c r="O323" s="181"/>
      <c r="P323" s="181"/>
      <c r="Q323" s="181"/>
      <c r="R323" s="181"/>
      <c r="S323" s="181"/>
      <c r="T323" s="181"/>
      <c r="U323" s="181"/>
    </row>
    <row r="324" spans="2:21">
      <c r="B324" s="193" t="s">
        <v>459</v>
      </c>
      <c r="C324" s="194"/>
      <c r="D324" s="205" t="s">
        <v>160</v>
      </c>
      <c r="E324" s="181"/>
      <c r="F324" s="181"/>
      <c r="G324" s="181"/>
      <c r="H324" s="181"/>
      <c r="I324" s="181"/>
      <c r="J324" s="181"/>
      <c r="K324" s="181"/>
      <c r="L324" s="181"/>
      <c r="M324" s="160"/>
      <c r="N324" s="181"/>
      <c r="O324" s="181"/>
      <c r="P324" s="181"/>
      <c r="Q324" s="181"/>
      <c r="R324" s="181"/>
      <c r="S324" s="181"/>
      <c r="T324" s="181"/>
      <c r="U324" s="181"/>
    </row>
    <row r="325" spans="2:21">
      <c r="B325" s="193"/>
      <c r="C325" s="194"/>
      <c r="D325" s="205" t="s">
        <v>279</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280</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160" t="s">
        <v>281</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c r="E328" s="181"/>
      <c r="F328" s="181"/>
      <c r="G328" s="181"/>
      <c r="H328" s="181"/>
      <c r="I328" s="181"/>
      <c r="J328" s="181"/>
      <c r="K328" s="181"/>
      <c r="L328" s="181"/>
      <c r="M328" s="160"/>
      <c r="N328" s="181"/>
      <c r="O328" s="181"/>
      <c r="P328" s="181"/>
      <c r="Q328" s="181"/>
      <c r="R328" s="181"/>
      <c r="S328" s="181"/>
      <c r="T328" s="181"/>
      <c r="U328" s="181"/>
    </row>
    <row r="329" spans="2:21" ht="25.5" customHeight="1">
      <c r="B329" s="193" t="s">
        <v>460</v>
      </c>
      <c r="C329" s="194"/>
      <c r="D329" s="1485" t="s">
        <v>801</v>
      </c>
      <c r="E329" s="1485"/>
      <c r="F329" s="1485"/>
      <c r="G329" s="1485"/>
      <c r="H329" s="1485"/>
      <c r="I329" s="1485"/>
      <c r="J329" s="1485"/>
      <c r="K329" s="1485"/>
      <c r="L329" s="1485"/>
      <c r="M329" s="160"/>
      <c r="N329" s="181"/>
      <c r="O329" s="181"/>
      <c r="P329" s="181"/>
      <c r="Q329" s="181"/>
      <c r="R329" s="181"/>
      <c r="S329" s="181"/>
      <c r="T329" s="181"/>
      <c r="U329" s="181"/>
    </row>
    <row r="330" spans="2:21">
      <c r="B330" s="193"/>
      <c r="C330" s="194"/>
      <c r="D330" s="1485"/>
      <c r="E330" s="1485"/>
      <c r="F330" s="1485"/>
      <c r="G330" s="1485"/>
      <c r="H330" s="1485"/>
      <c r="I330" s="1485"/>
      <c r="J330" s="1485"/>
      <c r="K330" s="1485"/>
      <c r="L330" s="1485"/>
      <c r="M330" s="160"/>
      <c r="N330" s="181"/>
      <c r="O330" s="181"/>
      <c r="P330" s="181"/>
      <c r="Q330" s="181"/>
      <c r="R330" s="181"/>
      <c r="S330" s="181"/>
      <c r="T330" s="181"/>
      <c r="U330" s="181"/>
    </row>
    <row r="331" spans="2:21">
      <c r="B331" s="193"/>
      <c r="C331" s="194"/>
      <c r="D331" s="1485"/>
      <c r="E331" s="1485"/>
      <c r="F331" s="1485"/>
      <c r="G331" s="1485"/>
      <c r="H331" s="1485"/>
      <c r="I331" s="1485"/>
      <c r="J331" s="1485"/>
      <c r="K331" s="1485"/>
      <c r="L331" s="1485"/>
      <c r="M331" s="160"/>
      <c r="N331" s="181"/>
      <c r="O331" s="181"/>
      <c r="P331" s="181"/>
      <c r="Q331" s="181"/>
      <c r="R331" s="181"/>
      <c r="S331" s="181"/>
      <c r="T331" s="181"/>
      <c r="U331" s="181"/>
    </row>
    <row r="332" spans="2:21">
      <c r="B332" s="193"/>
      <c r="C332" s="194"/>
      <c r="D332" s="407"/>
      <c r="E332" s="181"/>
      <c r="F332" s="181"/>
      <c r="G332" s="181"/>
      <c r="H332" s="181"/>
      <c r="I332" s="181"/>
      <c r="J332" s="181"/>
      <c r="K332" s="181"/>
      <c r="L332" s="181"/>
      <c r="M332" s="160"/>
      <c r="N332" s="181"/>
      <c r="O332" s="181"/>
      <c r="P332" s="181"/>
      <c r="Q332" s="181"/>
      <c r="R332" s="181"/>
      <c r="S332" s="181"/>
      <c r="T332" s="181"/>
      <c r="U332" s="181"/>
    </row>
    <row r="333" spans="2:21">
      <c r="B333" s="270" t="s">
        <v>33</v>
      </c>
      <c r="C333" s="194"/>
      <c r="D333" s="205" t="s">
        <v>596</v>
      </c>
      <c r="E333" s="164"/>
      <c r="F333" s="164"/>
      <c r="G333" s="164"/>
      <c r="H333" s="164"/>
      <c r="I333" s="164"/>
      <c r="J333" s="164"/>
      <c r="K333" s="160"/>
      <c r="L333" s="160"/>
      <c r="M333" s="160"/>
      <c r="N333" s="181"/>
      <c r="O333" s="181"/>
      <c r="P333" s="181"/>
      <c r="Q333" s="181"/>
      <c r="R333" s="181"/>
      <c r="S333" s="181"/>
      <c r="T333" s="181"/>
      <c r="U333" s="181"/>
    </row>
    <row r="334" spans="2:21">
      <c r="B334" s="270"/>
      <c r="C334" s="194"/>
      <c r="D334" s="164"/>
      <c r="E334" s="164"/>
      <c r="F334" s="164"/>
      <c r="G334" s="164"/>
      <c r="H334" s="164"/>
      <c r="I334" s="164"/>
      <c r="J334" s="164"/>
      <c r="K334" s="160"/>
      <c r="L334" s="160"/>
      <c r="M334" s="160"/>
      <c r="N334" s="181"/>
      <c r="O334" s="181"/>
      <c r="P334" s="181"/>
      <c r="Q334" s="181"/>
      <c r="R334" s="181"/>
      <c r="S334" s="181"/>
      <c r="T334" s="181"/>
      <c r="U334" s="181"/>
    </row>
    <row r="335" spans="2:21">
      <c r="B335" s="193" t="s">
        <v>109</v>
      </c>
      <c r="C335" s="194"/>
      <c r="D335" s="205" t="s">
        <v>148</v>
      </c>
      <c r="E335" s="160"/>
      <c r="F335" s="160"/>
      <c r="G335" s="160"/>
      <c r="H335" s="160"/>
      <c r="I335" s="160"/>
      <c r="J335" s="160"/>
      <c r="K335" s="160"/>
      <c r="L335" s="160"/>
      <c r="M335" s="160"/>
      <c r="N335" s="181"/>
      <c r="O335" s="181"/>
      <c r="P335" s="181"/>
      <c r="Q335" s="181"/>
      <c r="R335" s="181"/>
      <c r="S335" s="181"/>
      <c r="T335" s="181"/>
      <c r="U335" s="181"/>
    </row>
    <row r="336" spans="2:21">
      <c r="B336" s="270"/>
      <c r="C336" s="194"/>
      <c r="D336" s="205" t="s">
        <v>20</v>
      </c>
      <c r="E336" s="160"/>
      <c r="F336" s="160"/>
      <c r="G336" s="160"/>
      <c r="H336" s="160"/>
      <c r="I336" s="160"/>
      <c r="J336" s="160"/>
      <c r="K336" s="160"/>
      <c r="L336" s="160"/>
      <c r="M336" s="160"/>
      <c r="N336" s="181"/>
      <c r="O336" s="181"/>
      <c r="P336" s="181"/>
      <c r="Q336" s="181"/>
      <c r="R336" s="181"/>
      <c r="S336" s="181"/>
      <c r="T336" s="181"/>
      <c r="U336" s="181"/>
    </row>
    <row r="337" spans="2:21">
      <c r="B337" s="270"/>
      <c r="C337" s="194"/>
      <c r="D337" s="205" t="s">
        <v>21</v>
      </c>
      <c r="E337" s="160"/>
      <c r="F337" s="160"/>
      <c r="G337" s="160"/>
      <c r="H337" s="160"/>
      <c r="I337" s="160"/>
      <c r="J337" s="160"/>
      <c r="K337" s="160"/>
      <c r="L337" s="160"/>
      <c r="M337" s="160"/>
      <c r="N337" s="181"/>
      <c r="O337" s="181"/>
      <c r="P337" s="181"/>
      <c r="Q337" s="181"/>
      <c r="R337" s="181"/>
      <c r="S337" s="181"/>
      <c r="T337" s="181"/>
      <c r="U337" s="181"/>
    </row>
    <row r="338" spans="2:21">
      <c r="B338" s="270"/>
      <c r="C338" s="194"/>
      <c r="D338" s="205" t="s">
        <v>22</v>
      </c>
      <c r="E338" s="160"/>
      <c r="F338" s="160"/>
      <c r="G338" s="160"/>
      <c r="H338" s="160"/>
      <c r="I338" s="160"/>
      <c r="J338" s="160"/>
      <c r="K338" s="160"/>
      <c r="L338" s="160"/>
      <c r="M338" s="160"/>
      <c r="N338" s="181"/>
      <c r="O338" s="181"/>
      <c r="P338" s="181"/>
      <c r="Q338" s="181"/>
      <c r="R338" s="181"/>
      <c r="S338" s="181"/>
      <c r="T338" s="181"/>
      <c r="U338" s="181"/>
    </row>
    <row r="339" spans="2:21">
      <c r="B339" s="193"/>
      <c r="C339" s="194"/>
      <c r="D339" s="205" t="str">
        <f>"(ln "&amp;B174&amp;") multiplied by (1/1-T) .  If the applicable tax rates are zero enter 0."</f>
        <v>(ln 101) multiplied by (1/1-T) .  If the applicable tax rates are zero enter 0.</v>
      </c>
      <c r="H339" s="160"/>
      <c r="I339" s="160"/>
      <c r="J339" s="160"/>
      <c r="K339" s="160"/>
      <c r="L339" s="160"/>
      <c r="M339" s="160"/>
      <c r="N339" s="181"/>
      <c r="O339" s="181"/>
      <c r="P339" s="181"/>
      <c r="Q339" s="181"/>
      <c r="R339" s="181"/>
      <c r="S339" s="181"/>
      <c r="T339" s="181"/>
      <c r="U339" s="181"/>
    </row>
    <row r="340" spans="2:21">
      <c r="B340" s="408"/>
      <c r="C340" s="181"/>
      <c r="D340" s="205" t="s">
        <v>149</v>
      </c>
      <c r="E340" s="181" t="s">
        <v>150</v>
      </c>
      <c r="F340" s="148">
        <v>0.21</v>
      </c>
      <c r="G340" s="181"/>
      <c r="H340" s="160"/>
      <c r="I340" s="160"/>
      <c r="J340" s="160"/>
      <c r="K340" s="160"/>
      <c r="L340" s="160"/>
      <c r="M340" s="160"/>
      <c r="N340" s="181"/>
      <c r="O340" s="181"/>
      <c r="P340" s="181"/>
      <c r="Q340" s="181"/>
      <c r="R340" s="181"/>
      <c r="S340" s="181"/>
      <c r="T340" s="181"/>
      <c r="U340" s="181"/>
    </row>
    <row r="341" spans="2:21">
      <c r="B341" s="408"/>
      <c r="C341" s="181"/>
      <c r="D341" s="205"/>
      <c r="E341" s="181" t="s">
        <v>151</v>
      </c>
      <c r="F341" s="397">
        <f>+'WS G  State Tax Rate'!F29</f>
        <v>5.16E-2</v>
      </c>
      <c r="G341" s="181" t="s">
        <v>303</v>
      </c>
      <c r="H341" s="160"/>
      <c r="I341" s="160"/>
      <c r="J341" s="160"/>
      <c r="K341" s="160"/>
      <c r="L341" s="160"/>
      <c r="M341" s="160"/>
      <c r="N341" s="181"/>
      <c r="O341" s="181"/>
      <c r="P341" s="181"/>
      <c r="Q341" s="181"/>
      <c r="R341" s="181"/>
      <c r="S341" s="181"/>
      <c r="T341" s="181"/>
      <c r="U341" s="181"/>
    </row>
    <row r="342" spans="2:21">
      <c r="B342" s="408"/>
      <c r="C342" s="181"/>
      <c r="D342" s="205"/>
      <c r="E342" s="181" t="s">
        <v>152</v>
      </c>
      <c r="F342" s="148">
        <v>0</v>
      </c>
      <c r="G342" s="181" t="s">
        <v>153</v>
      </c>
      <c r="H342" s="160"/>
      <c r="I342" s="160"/>
      <c r="J342" s="160"/>
      <c r="K342" s="160"/>
      <c r="L342" s="160"/>
      <c r="M342" s="160"/>
      <c r="N342" s="181"/>
      <c r="O342" s="181"/>
      <c r="P342" s="181"/>
      <c r="Q342" s="181"/>
      <c r="R342" s="181"/>
      <c r="S342" s="181"/>
      <c r="T342" s="181"/>
      <c r="U342" s="181"/>
    </row>
    <row r="343" spans="2:21" ht="46.5" customHeight="1">
      <c r="B343" s="270"/>
      <c r="C343" s="194"/>
      <c r="D343" s="1489" t="s">
        <v>606</v>
      </c>
      <c r="E343" s="1489"/>
      <c r="F343" s="1489"/>
      <c r="G343" s="1489"/>
      <c r="H343" s="1489"/>
      <c r="I343" s="1489"/>
      <c r="J343" s="1489"/>
      <c r="K343" s="160"/>
      <c r="L343" s="160"/>
      <c r="M343" s="181"/>
      <c r="N343" s="181"/>
      <c r="O343" s="181"/>
      <c r="P343" s="181"/>
      <c r="Q343" s="181"/>
      <c r="R343" s="181"/>
      <c r="S343" s="181"/>
      <c r="T343" s="181"/>
      <c r="U343" s="181"/>
    </row>
    <row r="344" spans="2:21">
      <c r="B344" s="193" t="s">
        <v>154</v>
      </c>
      <c r="C344" s="194"/>
      <c r="D344" s="205" t="s">
        <v>549</v>
      </c>
      <c r="E344" s="160"/>
      <c r="F344" s="160"/>
      <c r="G344" s="160"/>
      <c r="H344" s="160"/>
      <c r="I344" s="160"/>
      <c r="J344" s="160"/>
      <c r="K344" s="160"/>
      <c r="L344" s="160"/>
      <c r="M344" s="160"/>
      <c r="N344" s="181"/>
      <c r="O344" s="181"/>
      <c r="P344" s="181"/>
      <c r="Q344" s="181"/>
      <c r="R344" s="181"/>
      <c r="S344" s="181"/>
      <c r="T344" s="181"/>
      <c r="U344" s="181"/>
    </row>
    <row r="345" spans="2:21">
      <c r="B345" s="155"/>
      <c r="D345" s="205"/>
      <c r="E345" s="160"/>
      <c r="F345" s="160"/>
      <c r="G345" s="160"/>
      <c r="H345" s="160"/>
      <c r="I345" s="160"/>
      <c r="J345" s="160"/>
      <c r="K345" s="160"/>
      <c r="L345" s="160"/>
      <c r="M345" s="160"/>
      <c r="N345" s="181"/>
      <c r="O345" s="181"/>
      <c r="P345" s="181"/>
      <c r="Q345" s="181"/>
      <c r="R345" s="181"/>
      <c r="S345" s="181"/>
      <c r="T345" s="181"/>
      <c r="U345" s="181"/>
    </row>
    <row r="346" spans="2:21">
      <c r="B346" s="193" t="s">
        <v>155</v>
      </c>
      <c r="C346" s="194"/>
      <c r="D346" s="205" t="s">
        <v>361</v>
      </c>
      <c r="E346" s="160"/>
      <c r="F346" s="160"/>
      <c r="G346" s="160"/>
      <c r="H346" s="160"/>
      <c r="I346" s="160"/>
      <c r="J346" s="160"/>
      <c r="K346" s="160"/>
      <c r="L346" s="160"/>
      <c r="M346" s="160"/>
      <c r="N346" s="181"/>
      <c r="O346" s="181"/>
      <c r="P346" s="181"/>
      <c r="Q346" s="181"/>
      <c r="R346" s="181"/>
      <c r="S346" s="181"/>
      <c r="T346" s="181"/>
      <c r="U346" s="181"/>
    </row>
    <row r="347" spans="2:21">
      <c r="B347" s="193"/>
      <c r="C347" s="194"/>
      <c r="D347" s="205"/>
      <c r="E347" s="181"/>
      <c r="F347" s="181"/>
      <c r="G347" s="181"/>
      <c r="H347" s="181"/>
      <c r="I347" s="181"/>
      <c r="J347" s="181"/>
      <c r="K347" s="181"/>
      <c r="L347" s="181"/>
      <c r="M347" s="181"/>
      <c r="N347" s="181"/>
      <c r="O347" s="181"/>
      <c r="P347" s="181"/>
      <c r="Q347" s="181"/>
      <c r="R347" s="181"/>
      <c r="S347" s="181"/>
      <c r="T347" s="181"/>
      <c r="U347" s="181"/>
    </row>
    <row r="348" spans="2:21">
      <c r="B348" s="193" t="s">
        <v>156</v>
      </c>
      <c r="C348" s="194"/>
      <c r="D348" s="205" t="s">
        <v>620</v>
      </c>
      <c r="E348" s="181"/>
      <c r="F348" s="181"/>
      <c r="G348" s="181"/>
      <c r="H348" s="181"/>
      <c r="I348" s="181"/>
      <c r="J348" s="181"/>
      <c r="K348" s="181"/>
      <c r="L348" s="181"/>
      <c r="M348" s="181"/>
      <c r="N348" s="181"/>
      <c r="O348" s="181"/>
      <c r="P348" s="181"/>
      <c r="Q348" s="181"/>
      <c r="R348" s="181"/>
      <c r="S348" s="181"/>
      <c r="T348" s="181"/>
      <c r="U348" s="181"/>
    </row>
    <row r="349" spans="2:21">
      <c r="B349" s="193"/>
      <c r="C349" s="194"/>
      <c r="D349" s="205"/>
      <c r="E349" s="181"/>
      <c r="F349" s="181"/>
      <c r="G349" s="181"/>
      <c r="H349" s="181"/>
      <c r="I349" s="181"/>
      <c r="J349" s="181"/>
      <c r="K349" s="181"/>
      <c r="L349" s="181"/>
      <c r="M349" s="181"/>
      <c r="N349" s="181"/>
      <c r="O349" s="181"/>
      <c r="P349" s="181"/>
      <c r="Q349" s="181"/>
      <c r="R349" s="181"/>
      <c r="S349" s="181"/>
      <c r="T349" s="181"/>
      <c r="U349" s="181"/>
    </row>
    <row r="350" spans="2:21" ht="15.75" customHeight="1">
      <c r="B350" s="409" t="s">
        <v>157</v>
      </c>
      <c r="C350" s="410"/>
      <c r="D350" s="1490" t="s">
        <v>983</v>
      </c>
      <c r="E350" s="1490"/>
      <c r="F350" s="1490"/>
      <c r="G350" s="1490"/>
      <c r="H350" s="1490"/>
      <c r="I350" s="1490"/>
      <c r="J350" s="1490"/>
      <c r="M350" s="173"/>
      <c r="N350" s="173"/>
      <c r="O350" s="181"/>
      <c r="P350" s="181"/>
      <c r="Q350" s="181"/>
      <c r="R350" s="181"/>
      <c r="S350" s="181"/>
      <c r="T350" s="181"/>
      <c r="U350" s="181"/>
    </row>
    <row r="351" spans="2:21" ht="15.75" customHeight="1">
      <c r="B351" s="410"/>
      <c r="C351" s="410"/>
      <c r="D351" s="1490" t="s">
        <v>984</v>
      </c>
      <c r="E351" s="1490"/>
      <c r="F351" s="1490"/>
      <c r="G351" s="1490"/>
      <c r="H351" s="1490"/>
      <c r="I351" s="1490"/>
      <c r="J351" s="1490"/>
      <c r="M351" s="173"/>
      <c r="N351" s="173"/>
      <c r="O351" s="181"/>
      <c r="P351" s="181"/>
      <c r="Q351" s="181"/>
      <c r="R351" s="181"/>
      <c r="S351" s="181"/>
      <c r="T351" s="181"/>
      <c r="U351" s="181"/>
    </row>
    <row r="352" spans="2:21" ht="15.75">
      <c r="B352" s="410"/>
      <c r="C352" s="410"/>
      <c r="D352" s="1490"/>
      <c r="E352" s="1490"/>
      <c r="F352" s="1490"/>
      <c r="G352" s="1490"/>
      <c r="H352" s="1490"/>
      <c r="I352" s="1490"/>
      <c r="J352" s="1490"/>
      <c r="M352" s="173"/>
      <c r="N352" s="173"/>
      <c r="O352" s="181"/>
      <c r="P352" s="181"/>
      <c r="Q352" s="181"/>
      <c r="R352" s="181"/>
      <c r="S352" s="181"/>
      <c r="T352" s="181"/>
      <c r="U352" s="181"/>
    </row>
    <row r="353" spans="2:21" ht="95.25" customHeight="1">
      <c r="B353" s="410"/>
      <c r="C353" s="410"/>
      <c r="D353" s="1490"/>
      <c r="E353" s="1490"/>
      <c r="F353" s="1490"/>
      <c r="G353" s="1490"/>
      <c r="H353" s="1490"/>
      <c r="I353" s="1490"/>
      <c r="J353" s="1490"/>
      <c r="M353" s="173"/>
      <c r="N353" s="173"/>
      <c r="O353" s="181"/>
      <c r="P353" s="181"/>
      <c r="Q353" s="181"/>
      <c r="R353" s="181"/>
      <c r="S353" s="181"/>
      <c r="T353" s="181"/>
      <c r="U353" s="181"/>
    </row>
    <row r="354" spans="2:21" ht="0.75" hidden="1" customHeight="1">
      <c r="B354" s="410"/>
      <c r="C354" s="410"/>
      <c r="D354" s="1263"/>
      <c r="E354" s="1263"/>
      <c r="F354" s="1263"/>
      <c r="G354" s="1263"/>
      <c r="H354" s="1263"/>
      <c r="I354" s="1263"/>
      <c r="J354" s="1263"/>
      <c r="M354" s="173"/>
      <c r="N354" s="173"/>
      <c r="O354" s="181"/>
      <c r="P354" s="181"/>
      <c r="Q354" s="181"/>
      <c r="R354" s="181"/>
      <c r="S354" s="181"/>
      <c r="T354" s="181"/>
      <c r="U354" s="181"/>
    </row>
    <row r="355" spans="2:21" ht="54.75" hidden="1" customHeight="1">
      <c r="B355" s="410"/>
      <c r="C355" s="410"/>
      <c r="D355" s="1263"/>
      <c r="E355" s="1263"/>
      <c r="F355" s="1263"/>
      <c r="G355" s="1263"/>
      <c r="H355" s="1263"/>
      <c r="I355" s="1263"/>
      <c r="J355" s="1263"/>
      <c r="M355" s="173"/>
      <c r="N355" s="173"/>
      <c r="O355" s="181"/>
      <c r="P355" s="181"/>
      <c r="Q355" s="181"/>
      <c r="R355" s="181"/>
      <c r="S355" s="181"/>
      <c r="T355" s="181"/>
      <c r="U355" s="181"/>
    </row>
    <row r="356" spans="2:21" ht="16.5" customHeight="1">
      <c r="B356" s="410"/>
      <c r="C356" s="410"/>
      <c r="D356" s="1263"/>
      <c r="E356" s="1263"/>
      <c r="F356" s="1263"/>
      <c r="G356" s="1263"/>
      <c r="H356" s="1263"/>
      <c r="I356" s="1263"/>
      <c r="J356" s="1263"/>
      <c r="M356" s="173"/>
      <c r="N356" s="173"/>
      <c r="O356" s="181"/>
      <c r="P356" s="181"/>
      <c r="Q356" s="181"/>
      <c r="R356" s="181"/>
      <c r="S356" s="181"/>
      <c r="T356" s="181"/>
      <c r="U356" s="181"/>
    </row>
    <row r="357" spans="2:21" ht="98.25" customHeight="1">
      <c r="B357" s="193" t="s">
        <v>203</v>
      </c>
      <c r="C357" s="410"/>
      <c r="D357" s="1477" t="s">
        <v>765</v>
      </c>
      <c r="E357" s="1478"/>
      <c r="F357" s="1478"/>
      <c r="G357" s="1478"/>
      <c r="H357" s="1478"/>
      <c r="I357" s="1478"/>
      <c r="J357" s="1478"/>
      <c r="M357" s="181"/>
      <c r="N357" s="181"/>
      <c r="O357" s="181"/>
      <c r="P357" s="181"/>
      <c r="Q357" s="181"/>
      <c r="R357" s="181"/>
      <c r="S357" s="181"/>
      <c r="T357" s="181"/>
      <c r="U357" s="181"/>
    </row>
    <row r="358" spans="2:21" ht="15.75">
      <c r="B358" s="193"/>
      <c r="C358" s="410"/>
      <c r="D358" s="411"/>
      <c r="E358" s="412"/>
      <c r="F358" s="412"/>
      <c r="G358" s="412"/>
      <c r="H358" s="412"/>
      <c r="I358" s="412"/>
      <c r="J358" s="412"/>
      <c r="M358" s="181"/>
      <c r="N358" s="181"/>
      <c r="O358" s="181"/>
      <c r="P358" s="181"/>
      <c r="Q358" s="181"/>
      <c r="R358" s="181"/>
      <c r="S358" s="181"/>
      <c r="T358" s="181"/>
      <c r="U358" s="181"/>
    </row>
    <row r="359" spans="2:21">
      <c r="B359" s="193" t="s">
        <v>561</v>
      </c>
      <c r="C359" s="413"/>
      <c r="D359" s="1476" t="s">
        <v>607</v>
      </c>
      <c r="E359" s="1476"/>
      <c r="F359" s="1476"/>
      <c r="G359" s="1476"/>
      <c r="H359" s="1476"/>
      <c r="I359" s="1476"/>
      <c r="J359" s="1476"/>
      <c r="K359" s="414"/>
      <c r="M359" s="181"/>
      <c r="N359" s="181"/>
      <c r="O359" s="181"/>
      <c r="P359" s="181"/>
      <c r="Q359" s="181"/>
      <c r="R359" s="181"/>
      <c r="S359" s="181"/>
      <c r="T359" s="181"/>
      <c r="U359" s="181"/>
    </row>
    <row r="360" spans="2:21">
      <c r="B360" s="193"/>
      <c r="C360" s="194"/>
      <c r="D360" s="155" t="s">
        <v>416</v>
      </c>
      <c r="M360" s="181"/>
      <c r="N360" s="181"/>
      <c r="O360" s="181"/>
      <c r="P360" s="181"/>
      <c r="Q360" s="181"/>
      <c r="R360" s="181"/>
      <c r="S360" s="181"/>
      <c r="T360" s="181"/>
      <c r="U360" s="181"/>
    </row>
    <row r="361" spans="2:21">
      <c r="B361" s="193" t="s">
        <v>608</v>
      </c>
      <c r="C361" s="194"/>
      <c r="D361" s="155" t="s">
        <v>609</v>
      </c>
      <c r="M361" s="181"/>
      <c r="N361" s="181"/>
      <c r="O361" s="181"/>
      <c r="P361" s="181"/>
      <c r="Q361" s="181"/>
      <c r="R361" s="181"/>
      <c r="S361" s="181"/>
      <c r="T361" s="181"/>
      <c r="U361" s="181"/>
    </row>
    <row r="362" spans="2:21">
      <c r="B362" s="193"/>
      <c r="C362" s="194"/>
      <c r="M362" s="181"/>
      <c r="N362" s="181"/>
      <c r="O362" s="181"/>
      <c r="P362" s="181"/>
      <c r="Q362" s="181"/>
      <c r="R362" s="181"/>
      <c r="S362" s="181"/>
      <c r="T362" s="181"/>
      <c r="U362" s="181"/>
    </row>
    <row r="363" spans="2:21" ht="30" customHeight="1">
      <c r="B363" s="193" t="s">
        <v>610</v>
      </c>
      <c r="C363" s="194"/>
      <c r="D363" s="1476" t="s">
        <v>611</v>
      </c>
      <c r="E363" s="1476"/>
      <c r="F363" s="1476"/>
      <c r="G363" s="1476"/>
      <c r="H363" s="1476"/>
      <c r="I363" s="1476"/>
      <c r="J363" s="1476"/>
      <c r="K363" s="1476"/>
      <c r="M363" s="181"/>
      <c r="N363" s="181"/>
      <c r="O363" s="181"/>
      <c r="P363" s="181"/>
      <c r="Q363" s="181"/>
      <c r="R363" s="181"/>
      <c r="S363" s="181"/>
      <c r="T363" s="181"/>
      <c r="U363" s="181"/>
    </row>
    <row r="364" spans="2:21">
      <c r="B364" s="173"/>
      <c r="C364" s="173"/>
      <c r="D364" s="173"/>
      <c r="E364" s="173"/>
      <c r="F364" s="173"/>
      <c r="G364" s="173"/>
      <c r="H364" s="173"/>
      <c r="M364" s="181"/>
      <c r="N364" s="181"/>
      <c r="O364" s="181"/>
      <c r="P364" s="181"/>
      <c r="Q364" s="181"/>
      <c r="R364" s="181"/>
      <c r="S364" s="181"/>
      <c r="T364" s="181"/>
      <c r="U364" s="181"/>
    </row>
    <row r="365" spans="2:21" ht="46.5" customHeight="1">
      <c r="B365" s="272" t="s">
        <v>612</v>
      </c>
      <c r="C365" s="173"/>
      <c r="D365" s="1476" t="s">
        <v>616</v>
      </c>
      <c r="E365" s="1476"/>
      <c r="F365" s="1476"/>
      <c r="G365" s="1476"/>
      <c r="H365" s="1476"/>
      <c r="I365" s="1476"/>
      <c r="J365" s="1476"/>
      <c r="K365" s="1476"/>
      <c r="M365" s="181"/>
      <c r="N365" s="181"/>
      <c r="O365" s="181"/>
      <c r="P365" s="181"/>
      <c r="Q365" s="181"/>
      <c r="R365" s="181"/>
      <c r="S365" s="181"/>
      <c r="T365" s="181"/>
      <c r="U365" s="181"/>
    </row>
    <row r="366" spans="2:21">
      <c r="B366" s="1231" t="s">
        <v>641</v>
      </c>
      <c r="C366" s="1232"/>
      <c r="D366" s="1233" t="s">
        <v>642</v>
      </c>
      <c r="E366" s="1234"/>
      <c r="F366" s="1234"/>
      <c r="G366" s="1234"/>
      <c r="H366" s="1017"/>
      <c r="M366" s="181"/>
      <c r="N366" s="181"/>
      <c r="O366" s="181"/>
      <c r="P366" s="181"/>
      <c r="Q366" s="181"/>
      <c r="R366" s="181"/>
      <c r="S366" s="181"/>
      <c r="T366" s="181"/>
      <c r="U366" s="181"/>
    </row>
    <row r="367" spans="2:21">
      <c r="B367" s="1330" t="s">
        <v>836</v>
      </c>
      <c r="C367" s="389"/>
      <c r="D367" s="1475" t="s">
        <v>837</v>
      </c>
      <c r="E367" s="1475"/>
      <c r="F367" s="1475"/>
      <c r="G367" s="1475"/>
      <c r="H367" s="1475"/>
      <c r="I367" s="1475"/>
      <c r="J367" s="1475"/>
      <c r="K367" s="1475"/>
      <c r="M367" s="181"/>
      <c r="N367" s="181"/>
      <c r="O367" s="181"/>
      <c r="P367" s="181"/>
      <c r="Q367" s="181"/>
      <c r="R367" s="181"/>
      <c r="S367" s="181"/>
      <c r="T367" s="181"/>
      <c r="U367" s="181"/>
    </row>
    <row r="368" spans="2:21">
      <c r="B368" s="389"/>
      <c r="C368" s="389"/>
      <c r="D368" s="1475"/>
      <c r="E368" s="1475"/>
      <c r="F368" s="1475"/>
      <c r="G368" s="1475"/>
      <c r="H368" s="1475"/>
      <c r="I368" s="1475"/>
      <c r="J368" s="1475"/>
      <c r="K368" s="1475"/>
      <c r="M368" s="181"/>
      <c r="N368" s="181"/>
      <c r="O368" s="181"/>
      <c r="P368" s="181"/>
      <c r="Q368" s="181"/>
      <c r="R368" s="181"/>
      <c r="S368" s="181"/>
      <c r="T368" s="181"/>
      <c r="U368" s="181"/>
    </row>
    <row r="369" spans="2:21">
      <c r="B369" s="155"/>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6"/>
      <c r="C373" s="160"/>
      <c r="D373" s="160"/>
      <c r="E373" s="160"/>
      <c r="F373" s="160"/>
      <c r="G373" s="160"/>
      <c r="H373" s="160"/>
      <c r="I373" s="160"/>
      <c r="J373" s="160"/>
      <c r="K373" s="160"/>
      <c r="L373" s="160"/>
      <c r="M373" s="160"/>
    </row>
    <row r="374" spans="2:21">
      <c r="B374" s="396"/>
      <c r="C374" s="160"/>
      <c r="D374" s="160"/>
      <c r="E374" s="160"/>
      <c r="F374" s="160"/>
      <c r="G374" s="160"/>
      <c r="H374" s="160"/>
      <c r="I374" s="160"/>
      <c r="J374" s="160"/>
      <c r="K374" s="160"/>
      <c r="L374" s="160"/>
      <c r="M374" s="160"/>
    </row>
    <row r="375" spans="2:21">
      <c r="B375" s="396"/>
      <c r="C375" s="160"/>
      <c r="D375" s="160"/>
      <c r="E375" s="160"/>
      <c r="F375" s="160"/>
      <c r="G375" s="160"/>
      <c r="H375" s="160"/>
      <c r="I375" s="160"/>
      <c r="J375" s="160"/>
      <c r="K375" s="160"/>
      <c r="L375" s="160"/>
      <c r="M375" s="160"/>
    </row>
    <row r="376" spans="2:21">
      <c r="B376" s="396"/>
      <c r="C376" s="160"/>
      <c r="D376" s="160"/>
      <c r="E376" s="160"/>
      <c r="F376" s="160"/>
      <c r="G376" s="160"/>
      <c r="H376" s="160"/>
      <c r="I376" s="160"/>
      <c r="J376" s="160"/>
      <c r="K376" s="160"/>
      <c r="L376" s="160"/>
      <c r="M376" s="160"/>
    </row>
    <row r="377" spans="2:21">
      <c r="B377" s="396"/>
      <c r="C377" s="160"/>
      <c r="D377" s="160"/>
      <c r="E377" s="160"/>
      <c r="F377" s="160"/>
      <c r="G377" s="160"/>
      <c r="H377" s="160"/>
      <c r="I377" s="160"/>
      <c r="J377" s="160"/>
      <c r="K377" s="160"/>
      <c r="L377" s="160"/>
      <c r="M377" s="160"/>
    </row>
    <row r="378" spans="2:21">
      <c r="B378" s="396"/>
      <c r="C378" s="160"/>
      <c r="D378" s="160"/>
      <c r="E378" s="160"/>
      <c r="F378" s="160"/>
      <c r="G378" s="160"/>
      <c r="H378" s="160"/>
      <c r="I378" s="160"/>
      <c r="J378" s="160"/>
      <c r="K378" s="160"/>
      <c r="L378" s="160"/>
      <c r="M378" s="160"/>
    </row>
    <row r="379" spans="2:21">
      <c r="B379" s="396"/>
      <c r="C379" s="160"/>
      <c r="D379" s="160"/>
      <c r="E379" s="160"/>
      <c r="F379" s="160"/>
      <c r="G379" s="160"/>
      <c r="H379" s="160"/>
      <c r="I379" s="160"/>
      <c r="J379" s="160"/>
      <c r="K379" s="160"/>
      <c r="L379" s="160"/>
      <c r="M379" s="160"/>
    </row>
    <row r="380" spans="2:21">
      <c r="B380" s="396"/>
      <c r="C380" s="160"/>
      <c r="D380" s="160"/>
      <c r="E380" s="160"/>
      <c r="F380" s="160"/>
      <c r="G380" s="160"/>
      <c r="H380" s="160"/>
      <c r="I380" s="160"/>
      <c r="J380" s="160"/>
      <c r="K380" s="160"/>
      <c r="L380" s="160"/>
      <c r="M380" s="160"/>
    </row>
    <row r="381" spans="2:21">
      <c r="B381" s="396"/>
      <c r="C381" s="160"/>
      <c r="D381" s="160"/>
      <c r="E381" s="160"/>
      <c r="F381" s="160"/>
      <c r="G381" s="160"/>
      <c r="H381" s="160"/>
      <c r="I381" s="160"/>
      <c r="J381" s="160"/>
      <c r="K381" s="160"/>
      <c r="L381" s="160"/>
      <c r="M381" s="160"/>
    </row>
    <row r="382" spans="2:21">
      <c r="B382" s="396"/>
      <c r="C382" s="160"/>
      <c r="D382" s="160"/>
      <c r="E382" s="160"/>
      <c r="F382" s="160"/>
      <c r="G382" s="160"/>
      <c r="H382" s="160"/>
      <c r="I382" s="160"/>
      <c r="J382" s="160"/>
      <c r="K382" s="160"/>
      <c r="L382" s="160"/>
      <c r="M382" s="160"/>
    </row>
    <row r="383" spans="2:21">
      <c r="B383" s="396"/>
      <c r="C383" s="160"/>
      <c r="D383" s="160"/>
      <c r="E383" s="160"/>
      <c r="F383" s="160"/>
      <c r="G383" s="160"/>
      <c r="H383" s="160"/>
      <c r="I383" s="160"/>
      <c r="J383" s="160"/>
      <c r="K383" s="160"/>
      <c r="L383" s="160"/>
      <c r="M383" s="160"/>
    </row>
    <row r="384" spans="2:21">
      <c r="B384" s="396"/>
      <c r="C384" s="160"/>
      <c r="D384" s="160"/>
      <c r="E384" s="160"/>
      <c r="F384" s="160"/>
      <c r="G384" s="160"/>
      <c r="H384" s="160"/>
      <c r="I384" s="160"/>
      <c r="J384" s="160"/>
      <c r="K384" s="160"/>
      <c r="L384" s="160"/>
      <c r="M384" s="160"/>
    </row>
    <row r="385" spans="2:13">
      <c r="B385" s="396"/>
      <c r="C385" s="160"/>
      <c r="D385" s="160"/>
      <c r="E385" s="160"/>
      <c r="F385" s="160"/>
      <c r="G385" s="160"/>
      <c r="H385" s="160"/>
      <c r="I385" s="160"/>
      <c r="J385" s="160"/>
      <c r="K385" s="160"/>
      <c r="L385" s="160"/>
      <c r="M385" s="160"/>
    </row>
    <row r="386" spans="2:13">
      <c r="B386" s="396"/>
      <c r="C386" s="160"/>
      <c r="D386" s="160"/>
      <c r="E386" s="160"/>
      <c r="F386" s="160"/>
      <c r="G386" s="160"/>
      <c r="H386" s="160"/>
      <c r="I386" s="160"/>
      <c r="J386" s="160"/>
      <c r="K386" s="160"/>
      <c r="L386" s="160"/>
      <c r="M386" s="160"/>
    </row>
    <row r="387" spans="2:13">
      <c r="B387" s="396"/>
      <c r="C387" s="160"/>
      <c r="D387" s="160"/>
      <c r="E387" s="160"/>
      <c r="F387" s="160"/>
      <c r="G387" s="160"/>
      <c r="H387" s="160"/>
      <c r="I387" s="160"/>
      <c r="J387" s="160"/>
      <c r="K387" s="160"/>
      <c r="L387" s="160"/>
      <c r="M387" s="160"/>
    </row>
    <row r="388" spans="2:13">
      <c r="B388" s="396"/>
      <c r="C388" s="160"/>
      <c r="D388" s="160"/>
      <c r="E388" s="160"/>
      <c r="F388" s="160"/>
      <c r="G388" s="160"/>
      <c r="H388" s="160"/>
      <c r="I388" s="160"/>
      <c r="J388" s="160"/>
      <c r="K388" s="160"/>
      <c r="L388" s="160"/>
      <c r="M388" s="160"/>
    </row>
    <row r="389" spans="2:13">
      <c r="B389" s="396"/>
      <c r="C389" s="160"/>
      <c r="D389" s="160"/>
      <c r="E389" s="160"/>
      <c r="F389" s="160"/>
      <c r="G389" s="160"/>
      <c r="H389" s="160"/>
      <c r="I389" s="160"/>
      <c r="J389" s="160"/>
      <c r="K389" s="160"/>
      <c r="L389" s="160"/>
      <c r="M389" s="160"/>
    </row>
    <row r="390" spans="2:13">
      <c r="B390" s="396"/>
      <c r="C390" s="160"/>
      <c r="D390" s="160"/>
      <c r="E390" s="160"/>
      <c r="F390" s="160"/>
      <c r="G390" s="160"/>
      <c r="H390" s="160"/>
      <c r="I390" s="160"/>
      <c r="J390" s="160"/>
      <c r="K390" s="160"/>
      <c r="L390" s="160"/>
      <c r="M390" s="160"/>
    </row>
    <row r="391" spans="2:13">
      <c r="B391" s="396"/>
      <c r="C391" s="160"/>
      <c r="D391" s="160"/>
      <c r="E391" s="160"/>
      <c r="F391" s="160"/>
      <c r="G391" s="160"/>
      <c r="H391" s="160"/>
      <c r="I391" s="160"/>
      <c r="J391" s="160"/>
      <c r="K391" s="160"/>
      <c r="L391" s="160"/>
      <c r="M391" s="160"/>
    </row>
    <row r="392" spans="2:13">
      <c r="B392" s="396"/>
      <c r="C392" s="160"/>
      <c r="D392" s="160"/>
      <c r="E392" s="160"/>
      <c r="F392" s="160"/>
      <c r="G392" s="160"/>
      <c r="H392" s="160"/>
      <c r="I392" s="160"/>
      <c r="J392" s="160"/>
      <c r="K392" s="160"/>
      <c r="L392" s="160"/>
      <c r="M392" s="160"/>
    </row>
    <row r="393" spans="2:13">
      <c r="B393" s="396"/>
      <c r="C393" s="160"/>
      <c r="D393" s="160"/>
      <c r="E393" s="160"/>
      <c r="F393" s="160"/>
      <c r="G393" s="160"/>
      <c r="H393" s="160"/>
      <c r="I393" s="160"/>
      <c r="J393" s="160"/>
      <c r="K393" s="160"/>
      <c r="L393" s="160"/>
      <c r="M393" s="160"/>
    </row>
    <row r="394" spans="2:13">
      <c r="B394" s="396"/>
      <c r="C394" s="160"/>
      <c r="D394" s="160"/>
      <c r="E394" s="160"/>
      <c r="F394" s="160"/>
      <c r="G394" s="160"/>
      <c r="H394" s="160"/>
      <c r="I394" s="160"/>
      <c r="J394" s="160"/>
      <c r="K394" s="160"/>
      <c r="L394" s="160"/>
      <c r="M394" s="160"/>
    </row>
    <row r="395" spans="2:13">
      <c r="B395" s="396"/>
      <c r="C395" s="160"/>
      <c r="D395" s="160"/>
      <c r="E395" s="160"/>
      <c r="F395" s="160"/>
      <c r="G395" s="160"/>
      <c r="H395" s="160"/>
      <c r="I395" s="160"/>
      <c r="J395" s="160"/>
      <c r="K395" s="160"/>
      <c r="L395" s="160"/>
      <c r="M395" s="160"/>
    </row>
    <row r="396" spans="2:13">
      <c r="B396" s="396"/>
      <c r="C396" s="160"/>
      <c r="D396" s="160"/>
      <c r="E396" s="160"/>
      <c r="F396" s="160"/>
      <c r="G396" s="160"/>
      <c r="H396" s="160"/>
      <c r="I396" s="160"/>
      <c r="J396" s="160"/>
      <c r="K396" s="160"/>
      <c r="L396" s="160"/>
      <c r="M396" s="160"/>
    </row>
    <row r="397" spans="2:13">
      <c r="B397" s="396"/>
      <c r="C397" s="160"/>
      <c r="D397" s="160"/>
      <c r="E397" s="160"/>
      <c r="F397" s="160"/>
      <c r="G397" s="160"/>
      <c r="H397" s="160"/>
      <c r="I397" s="160"/>
      <c r="J397" s="160"/>
      <c r="K397" s="160"/>
      <c r="L397" s="160"/>
      <c r="M397" s="160"/>
    </row>
    <row r="398" spans="2:13">
      <c r="B398" s="396"/>
      <c r="C398" s="160"/>
      <c r="D398" s="160"/>
      <c r="E398" s="160"/>
      <c r="F398" s="160"/>
      <c r="G398" s="160"/>
      <c r="H398" s="160"/>
      <c r="I398" s="160"/>
      <c r="J398" s="160"/>
      <c r="K398" s="160"/>
      <c r="L398" s="160"/>
      <c r="M398" s="160"/>
    </row>
    <row r="399" spans="2:13">
      <c r="B399" s="396"/>
      <c r="C399" s="160"/>
      <c r="D399" s="160"/>
      <c r="E399" s="160"/>
      <c r="F399" s="160"/>
      <c r="G399" s="160"/>
      <c r="H399" s="160"/>
      <c r="I399" s="160"/>
      <c r="J399" s="160"/>
      <c r="K399" s="160"/>
      <c r="L399" s="160"/>
      <c r="M399" s="160"/>
    </row>
    <row r="400" spans="2:13">
      <c r="B400" s="396"/>
      <c r="C400" s="160"/>
      <c r="D400" s="160"/>
      <c r="E400" s="160"/>
      <c r="F400" s="160"/>
      <c r="G400" s="160"/>
      <c r="H400" s="160"/>
      <c r="I400" s="160"/>
      <c r="J400" s="160"/>
      <c r="K400" s="160"/>
      <c r="L400" s="160"/>
      <c r="M400" s="160"/>
    </row>
    <row r="401" spans="2:13">
      <c r="B401" s="396"/>
      <c r="C401" s="160"/>
      <c r="D401" s="160"/>
      <c r="E401" s="160"/>
      <c r="F401" s="160"/>
      <c r="G401" s="160"/>
      <c r="H401" s="160"/>
      <c r="I401" s="160"/>
      <c r="J401" s="160"/>
      <c r="K401" s="160"/>
      <c r="L401" s="160"/>
      <c r="M401" s="160"/>
    </row>
    <row r="402" spans="2:13">
      <c r="B402" s="396"/>
      <c r="C402" s="160"/>
      <c r="D402" s="160"/>
      <c r="E402" s="160"/>
      <c r="F402" s="160"/>
      <c r="G402" s="160"/>
      <c r="H402" s="160"/>
      <c r="I402" s="160"/>
      <c r="J402" s="160"/>
      <c r="K402" s="160"/>
      <c r="L402" s="160"/>
      <c r="M402" s="160"/>
    </row>
    <row r="403" spans="2:13">
      <c r="B403" s="396"/>
      <c r="C403" s="160"/>
      <c r="D403" s="160"/>
      <c r="E403" s="160"/>
      <c r="F403" s="160"/>
      <c r="G403" s="160"/>
      <c r="H403" s="160"/>
      <c r="I403" s="160"/>
      <c r="J403" s="160"/>
      <c r="K403" s="160"/>
      <c r="L403" s="160"/>
      <c r="M403" s="160"/>
    </row>
    <row r="404" spans="2:13">
      <c r="B404" s="396"/>
      <c r="C404" s="160"/>
      <c r="D404" s="160"/>
      <c r="E404" s="160"/>
      <c r="F404" s="160"/>
      <c r="G404" s="160"/>
      <c r="H404" s="160"/>
      <c r="I404" s="160"/>
      <c r="J404" s="160"/>
      <c r="K404" s="160"/>
      <c r="L404" s="160"/>
      <c r="M404" s="160"/>
    </row>
    <row r="405" spans="2:13">
      <c r="B405" s="396"/>
      <c r="C405" s="160"/>
      <c r="D405" s="160"/>
      <c r="E405" s="160"/>
      <c r="F405" s="160"/>
      <c r="G405" s="160"/>
      <c r="H405" s="160"/>
      <c r="I405" s="160"/>
      <c r="J405" s="160"/>
      <c r="K405" s="160"/>
      <c r="L405" s="160"/>
      <c r="M405" s="160"/>
    </row>
    <row r="406" spans="2:13">
      <c r="B406" s="396"/>
      <c r="C406" s="160"/>
      <c r="D406" s="160"/>
      <c r="E406" s="160"/>
      <c r="F406" s="160"/>
      <c r="G406" s="160"/>
      <c r="H406" s="160"/>
      <c r="I406" s="160"/>
      <c r="J406" s="160"/>
      <c r="K406" s="160"/>
      <c r="L406" s="160"/>
      <c r="M406" s="160"/>
    </row>
    <row r="407" spans="2:13">
      <c r="B407" s="396"/>
      <c r="C407" s="160"/>
      <c r="D407" s="160"/>
      <c r="E407" s="160"/>
      <c r="F407" s="160"/>
      <c r="G407" s="160"/>
      <c r="H407" s="160"/>
      <c r="I407" s="160"/>
      <c r="J407" s="160"/>
      <c r="K407" s="160"/>
      <c r="L407" s="160"/>
      <c r="M407" s="160"/>
    </row>
    <row r="408" spans="2:13">
      <c r="B408" s="396"/>
      <c r="C408" s="160"/>
      <c r="D408" s="160"/>
      <c r="E408" s="160"/>
      <c r="F408" s="160"/>
      <c r="G408" s="160"/>
      <c r="H408" s="160"/>
      <c r="I408" s="160"/>
      <c r="J408" s="160"/>
      <c r="K408" s="160"/>
      <c r="L408" s="160"/>
      <c r="M408" s="160"/>
    </row>
    <row r="409" spans="2:13">
      <c r="B409" s="396"/>
      <c r="C409" s="160"/>
      <c r="D409" s="160"/>
      <c r="E409" s="160"/>
      <c r="F409" s="160"/>
      <c r="G409" s="160"/>
      <c r="H409" s="160"/>
      <c r="I409" s="160"/>
      <c r="J409" s="160"/>
      <c r="K409" s="160"/>
      <c r="L409" s="160"/>
      <c r="M409" s="160"/>
    </row>
    <row r="410" spans="2:13">
      <c r="B410" s="396"/>
      <c r="C410" s="160"/>
      <c r="D410" s="160"/>
      <c r="E410" s="160"/>
      <c r="F410" s="160"/>
      <c r="G410" s="160"/>
      <c r="H410" s="160"/>
      <c r="I410" s="160"/>
      <c r="J410" s="160"/>
      <c r="K410" s="160"/>
      <c r="L410" s="160"/>
      <c r="M410" s="160"/>
    </row>
    <row r="411" spans="2:13">
      <c r="B411" s="396"/>
      <c r="C411" s="160"/>
      <c r="D411" s="160"/>
      <c r="E411" s="160"/>
      <c r="F411" s="160"/>
      <c r="G411" s="160"/>
      <c r="H411" s="160"/>
      <c r="I411" s="160"/>
      <c r="J411" s="160"/>
      <c r="K411" s="160"/>
      <c r="L411" s="160"/>
      <c r="M411" s="160"/>
    </row>
    <row r="412" spans="2:13">
      <c r="B412" s="396"/>
      <c r="C412" s="160"/>
      <c r="D412" s="160"/>
      <c r="E412" s="160"/>
      <c r="F412" s="160"/>
      <c r="G412" s="160"/>
      <c r="H412" s="160"/>
      <c r="I412" s="160"/>
      <c r="J412" s="160"/>
      <c r="K412" s="160"/>
      <c r="L412" s="160"/>
      <c r="M412" s="160"/>
    </row>
    <row r="413" spans="2:13">
      <c r="B413" s="396"/>
      <c r="C413" s="160"/>
      <c r="D413" s="160"/>
      <c r="E413" s="160"/>
      <c r="F413" s="160"/>
      <c r="G413" s="160"/>
      <c r="H413" s="160"/>
      <c r="I413" s="160"/>
      <c r="J413" s="160"/>
      <c r="K413" s="160"/>
      <c r="L413" s="160"/>
      <c r="M413" s="160"/>
    </row>
    <row r="414" spans="2:13">
      <c r="B414" s="396"/>
      <c r="C414" s="160"/>
      <c r="D414" s="160"/>
      <c r="E414" s="160"/>
      <c r="F414" s="160"/>
      <c r="G414" s="160"/>
      <c r="H414" s="160"/>
      <c r="I414" s="160"/>
      <c r="J414" s="160"/>
      <c r="K414" s="160"/>
      <c r="L414" s="160"/>
      <c r="M414" s="160"/>
    </row>
    <row r="415" spans="2:13">
      <c r="B415" s="396"/>
      <c r="C415" s="160"/>
      <c r="D415" s="160"/>
      <c r="E415" s="160"/>
      <c r="F415" s="160"/>
      <c r="G415" s="160"/>
      <c r="H415" s="160"/>
      <c r="I415" s="160"/>
      <c r="J415" s="160"/>
      <c r="K415" s="160"/>
      <c r="L415" s="160"/>
      <c r="M415" s="160"/>
    </row>
    <row r="416" spans="2:13">
      <c r="B416" s="396"/>
      <c r="C416" s="160"/>
      <c r="D416" s="160"/>
      <c r="E416" s="160"/>
      <c r="F416" s="160"/>
      <c r="G416" s="160"/>
      <c r="H416" s="160"/>
      <c r="I416" s="160"/>
      <c r="J416" s="160"/>
      <c r="K416" s="160"/>
      <c r="L416" s="160"/>
      <c r="M416" s="160"/>
    </row>
    <row r="417" spans="2:13">
      <c r="B417" s="396"/>
      <c r="C417" s="160"/>
      <c r="D417" s="160"/>
      <c r="E417" s="160"/>
      <c r="F417" s="160"/>
      <c r="G417" s="160"/>
      <c r="H417" s="160"/>
      <c r="I417" s="160"/>
      <c r="J417" s="160"/>
      <c r="K417" s="160"/>
      <c r="L417" s="160"/>
      <c r="M417" s="160"/>
    </row>
    <row r="418" spans="2:13">
      <c r="B418" s="396"/>
      <c r="C418" s="160"/>
      <c r="D418" s="160"/>
      <c r="E418" s="160"/>
      <c r="F418" s="160"/>
      <c r="G418" s="160"/>
      <c r="H418" s="160"/>
      <c r="I418" s="160"/>
      <c r="J418" s="160"/>
      <c r="K418" s="160"/>
      <c r="L418" s="160"/>
      <c r="M418" s="160"/>
    </row>
    <row r="419" spans="2:13">
      <c r="B419" s="396"/>
      <c r="C419" s="160"/>
      <c r="D419" s="160"/>
      <c r="E419" s="160"/>
      <c r="F419" s="160"/>
      <c r="G419" s="160"/>
      <c r="H419" s="160"/>
      <c r="I419" s="160"/>
      <c r="J419" s="160"/>
      <c r="K419" s="160"/>
      <c r="L419" s="160"/>
      <c r="M419" s="160"/>
    </row>
    <row r="420" spans="2:13">
      <c r="B420" s="396"/>
      <c r="C420" s="160"/>
      <c r="D420" s="160"/>
      <c r="E420" s="160"/>
      <c r="F420" s="160"/>
      <c r="G420" s="160"/>
      <c r="H420" s="160"/>
      <c r="I420" s="160"/>
      <c r="J420" s="160"/>
      <c r="K420" s="160"/>
      <c r="L420" s="160"/>
      <c r="M420" s="160"/>
    </row>
    <row r="421" spans="2:13">
      <c r="B421" s="396"/>
      <c r="C421" s="160"/>
      <c r="D421" s="160"/>
      <c r="E421" s="160"/>
      <c r="F421" s="160"/>
      <c r="G421" s="160"/>
      <c r="H421" s="160"/>
      <c r="I421" s="160"/>
      <c r="J421" s="160"/>
      <c r="K421" s="160"/>
      <c r="L421" s="160"/>
      <c r="M421" s="160"/>
    </row>
    <row r="422" spans="2:13">
      <c r="B422" s="396"/>
      <c r="C422" s="160"/>
      <c r="D422" s="160"/>
      <c r="E422" s="160"/>
      <c r="F422" s="160"/>
      <c r="G422" s="160"/>
      <c r="H422" s="160"/>
      <c r="I422" s="160"/>
      <c r="J422" s="160"/>
      <c r="K422" s="160"/>
      <c r="L422" s="160"/>
      <c r="M422" s="160"/>
    </row>
    <row r="423" spans="2:13">
      <c r="B423" s="396"/>
      <c r="C423" s="160"/>
      <c r="D423" s="160"/>
      <c r="E423" s="160"/>
      <c r="F423" s="160"/>
      <c r="G423" s="160"/>
      <c r="H423" s="160"/>
      <c r="I423" s="160"/>
      <c r="J423" s="160"/>
      <c r="K423" s="160"/>
      <c r="L423" s="160"/>
      <c r="M423" s="160"/>
    </row>
    <row r="424" spans="2:13">
      <c r="B424" s="396"/>
      <c r="C424" s="160"/>
      <c r="D424" s="160"/>
      <c r="E424" s="160"/>
      <c r="F424" s="160"/>
      <c r="G424" s="160"/>
      <c r="H424" s="160"/>
      <c r="I424" s="160"/>
      <c r="J424" s="160"/>
      <c r="K424" s="160"/>
      <c r="L424" s="160"/>
      <c r="M424" s="160"/>
    </row>
    <row r="425" spans="2:13">
      <c r="B425" s="396"/>
      <c r="C425" s="160"/>
      <c r="D425" s="160"/>
      <c r="E425" s="160"/>
      <c r="F425" s="160"/>
      <c r="G425" s="160"/>
      <c r="H425" s="160"/>
      <c r="I425" s="160"/>
      <c r="J425" s="160"/>
      <c r="K425" s="160"/>
      <c r="L425" s="160"/>
      <c r="M425" s="160"/>
    </row>
    <row r="426" spans="2:13">
      <c r="B426" s="396"/>
      <c r="C426" s="160"/>
      <c r="D426" s="160"/>
      <c r="E426" s="160"/>
      <c r="F426" s="160"/>
      <c r="G426" s="160"/>
      <c r="H426" s="160"/>
      <c r="I426" s="160"/>
      <c r="J426" s="160"/>
      <c r="K426" s="160"/>
      <c r="L426" s="160"/>
      <c r="M426" s="160"/>
    </row>
    <row r="427" spans="2:13">
      <c r="B427" s="396"/>
      <c r="C427" s="160"/>
      <c r="D427" s="160"/>
      <c r="E427" s="160"/>
      <c r="F427" s="160"/>
      <c r="G427" s="160"/>
      <c r="H427" s="160"/>
      <c r="I427" s="160"/>
      <c r="J427" s="160"/>
      <c r="K427" s="160"/>
      <c r="L427" s="160"/>
      <c r="M427" s="160"/>
    </row>
    <row r="428" spans="2:13">
      <c r="B428" s="396"/>
      <c r="C428" s="160"/>
      <c r="D428" s="160"/>
      <c r="E428" s="160"/>
      <c r="F428" s="160"/>
      <c r="G428" s="160"/>
      <c r="H428" s="160"/>
      <c r="I428" s="160"/>
      <c r="J428" s="160"/>
      <c r="K428" s="160"/>
      <c r="L428" s="160"/>
      <c r="M428" s="160"/>
    </row>
    <row r="429" spans="2:13">
      <c r="B429" s="396"/>
      <c r="C429" s="160"/>
      <c r="D429" s="160"/>
      <c r="E429" s="160"/>
      <c r="F429" s="160"/>
      <c r="G429" s="160"/>
      <c r="H429" s="160"/>
      <c r="I429" s="160"/>
      <c r="J429" s="160"/>
      <c r="K429" s="160"/>
      <c r="L429" s="160"/>
      <c r="M429" s="160"/>
    </row>
    <row r="430" spans="2:13">
      <c r="B430" s="396"/>
      <c r="C430" s="160"/>
      <c r="D430" s="160"/>
      <c r="E430" s="160"/>
      <c r="F430" s="160"/>
      <c r="G430" s="160"/>
      <c r="H430" s="160"/>
      <c r="I430" s="160"/>
      <c r="J430" s="160"/>
      <c r="K430" s="160"/>
      <c r="L430" s="160"/>
      <c r="M430" s="160"/>
    </row>
    <row r="431" spans="2:13">
      <c r="B431" s="396"/>
      <c r="C431" s="160"/>
      <c r="D431" s="160"/>
      <c r="E431" s="160"/>
      <c r="F431" s="160"/>
      <c r="G431" s="160"/>
      <c r="H431" s="160"/>
      <c r="I431" s="160"/>
      <c r="J431" s="160"/>
      <c r="K431" s="160"/>
      <c r="L431" s="160"/>
      <c r="M431" s="160"/>
    </row>
    <row r="432" spans="2:13">
      <c r="B432" s="396"/>
      <c r="C432" s="160"/>
      <c r="D432" s="160"/>
      <c r="E432" s="160"/>
      <c r="F432" s="160"/>
      <c r="G432" s="160"/>
      <c r="H432" s="160"/>
      <c r="I432" s="160"/>
      <c r="J432" s="160"/>
      <c r="K432" s="160"/>
      <c r="L432" s="160"/>
      <c r="M432" s="160"/>
    </row>
    <row r="433" spans="2:13">
      <c r="B433" s="396"/>
      <c r="C433" s="160"/>
      <c r="D433" s="160"/>
      <c r="E433" s="160"/>
      <c r="F433" s="160"/>
      <c r="G433" s="160"/>
      <c r="H433" s="160"/>
      <c r="I433" s="160"/>
      <c r="J433" s="160"/>
      <c r="K433" s="160"/>
      <c r="L433" s="160"/>
      <c r="M433" s="160"/>
    </row>
    <row r="434" spans="2:13">
      <c r="B434" s="396"/>
      <c r="C434" s="160"/>
      <c r="D434" s="160"/>
      <c r="E434" s="160"/>
      <c r="F434" s="160"/>
      <c r="G434" s="160"/>
      <c r="H434" s="160"/>
      <c r="I434" s="160"/>
      <c r="J434" s="160"/>
      <c r="K434" s="160"/>
      <c r="L434" s="160"/>
      <c r="M434" s="160"/>
    </row>
    <row r="435" spans="2:13">
      <c r="B435" s="396"/>
      <c r="C435" s="160"/>
      <c r="D435" s="160"/>
      <c r="E435" s="160"/>
      <c r="F435" s="160"/>
      <c r="G435" s="160"/>
      <c r="H435" s="160"/>
      <c r="I435" s="160"/>
      <c r="J435" s="160"/>
      <c r="K435" s="160"/>
      <c r="L435" s="160"/>
      <c r="M435" s="160"/>
    </row>
    <row r="436" spans="2:13">
      <c r="B436" s="396"/>
      <c r="C436" s="160"/>
      <c r="D436" s="160"/>
      <c r="E436" s="160"/>
      <c r="F436" s="160"/>
      <c r="G436" s="160"/>
      <c r="H436" s="160"/>
      <c r="I436" s="160"/>
      <c r="J436" s="160"/>
      <c r="K436" s="160"/>
      <c r="L436" s="160"/>
      <c r="M436" s="160"/>
    </row>
    <row r="437" spans="2:13">
      <c r="B437" s="396"/>
      <c r="C437" s="160"/>
      <c r="D437" s="160"/>
      <c r="E437" s="160"/>
      <c r="F437" s="160"/>
      <c r="G437" s="160"/>
      <c r="H437" s="160"/>
      <c r="I437" s="160"/>
      <c r="J437" s="160"/>
      <c r="K437" s="160"/>
      <c r="L437" s="160"/>
      <c r="M437" s="160"/>
    </row>
    <row r="438" spans="2:13">
      <c r="B438" s="396"/>
      <c r="C438" s="160"/>
      <c r="D438" s="160"/>
      <c r="E438" s="160"/>
      <c r="F438" s="160"/>
      <c r="G438" s="160"/>
      <c r="H438" s="160"/>
      <c r="I438" s="160"/>
      <c r="J438" s="160"/>
      <c r="K438" s="160"/>
      <c r="L438" s="160"/>
      <c r="M438" s="160"/>
    </row>
    <row r="439" spans="2:13">
      <c r="B439" s="396"/>
      <c r="C439" s="160"/>
      <c r="D439" s="160"/>
      <c r="E439" s="160"/>
      <c r="F439" s="160"/>
      <c r="G439" s="160"/>
      <c r="H439" s="160"/>
      <c r="I439" s="160"/>
      <c r="J439" s="160"/>
      <c r="K439" s="160"/>
      <c r="L439" s="160"/>
      <c r="M439" s="160"/>
    </row>
    <row r="440" spans="2:13">
      <c r="B440" s="396"/>
      <c r="C440" s="160"/>
      <c r="D440" s="160"/>
      <c r="E440" s="160"/>
      <c r="F440" s="160"/>
      <c r="G440" s="160"/>
      <c r="H440" s="160"/>
      <c r="I440" s="160"/>
      <c r="J440" s="160"/>
      <c r="K440" s="160"/>
      <c r="L440" s="160"/>
      <c r="M440" s="160"/>
    </row>
    <row r="441" spans="2:13">
      <c r="B441" s="396"/>
      <c r="C441" s="160"/>
      <c r="D441" s="160"/>
      <c r="E441" s="160"/>
      <c r="F441" s="160"/>
      <c r="G441" s="160"/>
      <c r="H441" s="160"/>
      <c r="I441" s="160"/>
      <c r="J441" s="160"/>
      <c r="K441" s="160"/>
      <c r="L441" s="160"/>
      <c r="M441" s="160"/>
    </row>
    <row r="442" spans="2:13">
      <c r="B442" s="396"/>
      <c r="C442" s="160"/>
      <c r="D442" s="160"/>
      <c r="E442" s="160"/>
      <c r="F442" s="160"/>
      <c r="G442" s="160"/>
      <c r="H442" s="160"/>
      <c r="I442" s="160"/>
      <c r="J442" s="160"/>
      <c r="K442" s="160"/>
      <c r="L442" s="160"/>
      <c r="M442" s="160"/>
    </row>
    <row r="443" spans="2:13">
      <c r="B443" s="396"/>
      <c r="C443" s="160"/>
      <c r="D443" s="160"/>
      <c r="E443" s="160"/>
      <c r="F443" s="160"/>
      <c r="G443" s="160"/>
      <c r="H443" s="160"/>
      <c r="I443" s="160"/>
      <c r="J443" s="160"/>
      <c r="K443" s="160"/>
      <c r="L443" s="160"/>
      <c r="M443" s="160"/>
    </row>
    <row r="444" spans="2:13">
      <c r="B444" s="396"/>
      <c r="C444" s="160"/>
      <c r="D444" s="160"/>
      <c r="E444" s="160"/>
      <c r="F444" s="160"/>
      <c r="G444" s="160"/>
      <c r="H444" s="160"/>
      <c r="I444" s="160"/>
      <c r="J444" s="160"/>
      <c r="K444" s="160"/>
      <c r="L444" s="160"/>
      <c r="M444" s="160"/>
    </row>
    <row r="445" spans="2:13">
      <c r="B445" s="396"/>
      <c r="C445" s="160"/>
      <c r="D445" s="160"/>
      <c r="E445" s="160"/>
      <c r="F445" s="160"/>
      <c r="G445" s="160"/>
      <c r="H445" s="160"/>
      <c r="I445" s="160"/>
      <c r="J445" s="160"/>
      <c r="K445" s="160"/>
      <c r="L445" s="160"/>
      <c r="M445" s="160"/>
    </row>
    <row r="446" spans="2:13">
      <c r="B446" s="396"/>
      <c r="C446" s="160"/>
      <c r="D446" s="160"/>
      <c r="E446" s="160"/>
      <c r="F446" s="160"/>
      <c r="G446" s="160"/>
      <c r="H446" s="160"/>
      <c r="I446" s="160"/>
      <c r="J446" s="160"/>
      <c r="K446" s="160"/>
      <c r="L446" s="160"/>
      <c r="M446" s="160"/>
    </row>
    <row r="447" spans="2:13">
      <c r="B447" s="396"/>
      <c r="C447" s="160"/>
      <c r="D447" s="160"/>
      <c r="E447" s="160"/>
      <c r="F447" s="160"/>
      <c r="G447" s="160"/>
      <c r="H447" s="160"/>
      <c r="I447" s="160"/>
      <c r="J447" s="160"/>
      <c r="K447" s="160"/>
      <c r="L447" s="160"/>
      <c r="M447" s="160"/>
    </row>
    <row r="448" spans="2:13">
      <c r="B448" s="396"/>
      <c r="C448" s="160"/>
      <c r="D448" s="160"/>
      <c r="E448" s="160"/>
      <c r="F448" s="160"/>
      <c r="G448" s="160"/>
      <c r="H448" s="160"/>
      <c r="I448" s="160"/>
      <c r="J448" s="160"/>
      <c r="K448" s="160"/>
      <c r="L448" s="160"/>
      <c r="M448" s="160"/>
    </row>
    <row r="449" spans="2:13">
      <c r="B449" s="396"/>
      <c r="C449" s="160"/>
      <c r="D449" s="160"/>
      <c r="E449" s="160"/>
      <c r="F449" s="160"/>
      <c r="G449" s="160"/>
      <c r="H449" s="160"/>
      <c r="I449" s="160"/>
      <c r="J449" s="160"/>
      <c r="K449" s="160"/>
      <c r="L449" s="160"/>
      <c r="M449" s="160"/>
    </row>
    <row r="450" spans="2:13">
      <c r="B450" s="396"/>
      <c r="C450" s="160"/>
      <c r="D450" s="160"/>
      <c r="E450" s="160"/>
      <c r="F450" s="160"/>
      <c r="G450" s="160"/>
      <c r="H450" s="160"/>
      <c r="I450" s="160"/>
      <c r="J450" s="160"/>
      <c r="K450" s="160"/>
      <c r="L450" s="160"/>
      <c r="M450" s="160"/>
    </row>
    <row r="451" spans="2:13">
      <c r="B451" s="396"/>
      <c r="C451" s="160"/>
      <c r="D451" s="160"/>
      <c r="E451" s="160"/>
      <c r="F451" s="160"/>
      <c r="G451" s="160"/>
      <c r="H451" s="160"/>
      <c r="I451" s="160"/>
      <c r="J451" s="160"/>
      <c r="K451" s="160"/>
      <c r="L451" s="160"/>
      <c r="M451" s="160"/>
    </row>
    <row r="452" spans="2:13">
      <c r="B452" s="396"/>
      <c r="C452" s="160"/>
      <c r="D452" s="160"/>
      <c r="E452" s="160"/>
      <c r="F452" s="160"/>
      <c r="G452" s="160"/>
      <c r="H452" s="160"/>
      <c r="I452" s="160"/>
      <c r="J452" s="160"/>
      <c r="K452" s="160"/>
      <c r="L452" s="160"/>
      <c r="M452" s="160"/>
    </row>
    <row r="453" spans="2:13">
      <c r="B453" s="396"/>
      <c r="C453" s="160"/>
      <c r="D453" s="160"/>
      <c r="E453" s="160"/>
      <c r="F453" s="160"/>
      <c r="G453" s="160"/>
      <c r="H453" s="160"/>
      <c r="I453" s="160"/>
      <c r="J453" s="160"/>
      <c r="K453" s="160"/>
      <c r="L453" s="160"/>
      <c r="M453" s="160"/>
    </row>
    <row r="454" spans="2:13">
      <c r="B454" s="396"/>
      <c r="C454" s="160"/>
      <c r="D454" s="160"/>
      <c r="E454" s="160"/>
      <c r="F454" s="160"/>
      <c r="G454" s="160"/>
      <c r="H454" s="160"/>
      <c r="I454" s="160"/>
      <c r="J454" s="160"/>
      <c r="K454" s="160"/>
      <c r="L454" s="160"/>
      <c r="M454" s="160"/>
    </row>
    <row r="455" spans="2:13">
      <c r="B455" s="396"/>
      <c r="C455" s="160"/>
      <c r="D455" s="160"/>
      <c r="E455" s="160"/>
      <c r="F455" s="160"/>
      <c r="G455" s="160"/>
      <c r="H455" s="160"/>
      <c r="I455" s="160"/>
      <c r="J455" s="160"/>
      <c r="K455" s="160"/>
      <c r="L455" s="160"/>
      <c r="M455" s="160"/>
    </row>
    <row r="456" spans="2:13">
      <c r="B456" s="396"/>
      <c r="C456" s="160"/>
      <c r="D456" s="160"/>
      <c r="E456" s="160"/>
      <c r="F456" s="160"/>
      <c r="G456" s="160"/>
      <c r="H456" s="160"/>
      <c r="I456" s="160"/>
      <c r="J456" s="160"/>
      <c r="K456" s="160"/>
      <c r="L456" s="160"/>
      <c r="M456" s="160"/>
    </row>
    <row r="457" spans="2:13">
      <c r="B457" s="396"/>
      <c r="C457" s="160"/>
      <c r="D457" s="160"/>
      <c r="E457" s="160"/>
      <c r="F457" s="160"/>
      <c r="G457" s="160"/>
      <c r="H457" s="160"/>
      <c r="I457" s="160"/>
      <c r="J457" s="160"/>
      <c r="K457" s="160"/>
      <c r="L457" s="160"/>
      <c r="M457" s="160"/>
    </row>
    <row r="458" spans="2:13">
      <c r="B458" s="396"/>
      <c r="C458" s="160"/>
      <c r="D458" s="160"/>
      <c r="E458" s="160"/>
      <c r="F458" s="160"/>
      <c r="G458" s="160"/>
      <c r="H458" s="160"/>
      <c r="I458" s="160"/>
      <c r="J458" s="160"/>
      <c r="K458" s="160"/>
      <c r="L458" s="160"/>
      <c r="M458" s="160"/>
    </row>
    <row r="459" spans="2:13">
      <c r="B459" s="396"/>
      <c r="C459" s="160"/>
      <c r="D459" s="160"/>
      <c r="E459" s="160"/>
      <c r="F459" s="160"/>
      <c r="G459" s="160"/>
      <c r="H459" s="160"/>
      <c r="I459" s="160"/>
      <c r="J459" s="160"/>
      <c r="K459" s="160"/>
      <c r="L459" s="160"/>
      <c r="M459" s="160"/>
    </row>
    <row r="460" spans="2:13">
      <c r="B460" s="396"/>
      <c r="C460" s="160"/>
      <c r="D460" s="160"/>
      <c r="E460" s="160"/>
      <c r="F460" s="160"/>
      <c r="G460" s="160"/>
      <c r="H460" s="160"/>
      <c r="I460" s="160"/>
      <c r="J460" s="160"/>
      <c r="K460" s="160"/>
      <c r="L460" s="160"/>
      <c r="M460" s="160"/>
    </row>
    <row r="461" spans="2:13">
      <c r="B461" s="396"/>
      <c r="C461" s="160"/>
      <c r="D461" s="160"/>
      <c r="E461" s="160"/>
      <c r="F461" s="160"/>
      <c r="G461" s="160"/>
      <c r="H461" s="160"/>
      <c r="I461" s="160"/>
      <c r="J461" s="160"/>
      <c r="K461" s="160"/>
      <c r="L461" s="160"/>
      <c r="M461" s="160"/>
    </row>
    <row r="462" spans="2:13">
      <c r="B462" s="396"/>
      <c r="C462" s="160"/>
      <c r="D462" s="160"/>
      <c r="E462" s="160"/>
      <c r="F462" s="160"/>
      <c r="G462" s="160"/>
      <c r="H462" s="160"/>
      <c r="I462" s="160"/>
      <c r="J462" s="160"/>
      <c r="K462" s="160"/>
      <c r="L462" s="160"/>
      <c r="M462" s="160"/>
    </row>
    <row r="463" spans="2:13">
      <c r="B463" s="396"/>
      <c r="C463" s="160"/>
      <c r="D463" s="160"/>
      <c r="E463" s="160"/>
      <c r="F463" s="160"/>
      <c r="G463" s="160"/>
      <c r="H463" s="160"/>
      <c r="I463" s="160"/>
      <c r="J463" s="160"/>
      <c r="K463" s="160"/>
      <c r="L463" s="160"/>
      <c r="M463" s="160"/>
    </row>
    <row r="464" spans="2:13">
      <c r="B464" s="396"/>
      <c r="C464" s="160"/>
      <c r="D464" s="160"/>
      <c r="E464" s="160"/>
      <c r="F464" s="160"/>
      <c r="G464" s="160"/>
      <c r="H464" s="160"/>
      <c r="I464" s="160"/>
      <c r="J464" s="160"/>
      <c r="K464" s="160"/>
      <c r="L464" s="160"/>
      <c r="M464" s="160"/>
    </row>
    <row r="465" spans="2:13">
      <c r="B465" s="396"/>
      <c r="C465" s="160"/>
      <c r="D465" s="160"/>
      <c r="E465" s="160"/>
      <c r="F465" s="160"/>
      <c r="G465" s="160"/>
      <c r="H465" s="160"/>
      <c r="I465" s="160"/>
      <c r="J465" s="160"/>
      <c r="K465" s="160"/>
      <c r="L465" s="160"/>
      <c r="M465" s="160"/>
    </row>
    <row r="466" spans="2:13">
      <c r="B466" s="396"/>
      <c r="C466" s="160"/>
      <c r="D466" s="160"/>
      <c r="E466" s="160"/>
      <c r="F466" s="160"/>
      <c r="G466" s="160"/>
      <c r="H466" s="160"/>
      <c r="I466" s="160"/>
      <c r="J466" s="160"/>
      <c r="K466" s="160"/>
      <c r="L466" s="160"/>
      <c r="M466" s="160"/>
    </row>
    <row r="467" spans="2:13">
      <c r="B467" s="396"/>
      <c r="C467" s="160"/>
      <c r="D467" s="160"/>
      <c r="E467" s="160"/>
      <c r="F467" s="160"/>
      <c r="G467" s="160"/>
      <c r="H467" s="160"/>
      <c r="I467" s="160"/>
      <c r="J467" s="160"/>
      <c r="K467" s="160"/>
      <c r="L467" s="160"/>
      <c r="M467" s="160"/>
    </row>
    <row r="468" spans="2:13">
      <c r="B468" s="396"/>
      <c r="C468" s="160"/>
      <c r="D468" s="160"/>
      <c r="E468" s="160"/>
      <c r="F468" s="160"/>
      <c r="G468" s="160"/>
      <c r="H468" s="160"/>
      <c r="I468" s="160"/>
      <c r="J468" s="160"/>
      <c r="K468" s="160"/>
      <c r="L468" s="160"/>
      <c r="M468" s="160"/>
    </row>
    <row r="469" spans="2:13">
      <c r="B469" s="396"/>
      <c r="C469" s="160"/>
      <c r="D469" s="160"/>
      <c r="E469" s="160"/>
      <c r="F469" s="160"/>
      <c r="G469" s="160"/>
      <c r="H469" s="160"/>
      <c r="I469" s="160"/>
      <c r="J469" s="160"/>
      <c r="K469" s="160"/>
      <c r="L469" s="160"/>
      <c r="M469" s="160"/>
    </row>
    <row r="470" spans="2:13">
      <c r="B470" s="396"/>
      <c r="C470" s="160"/>
      <c r="D470" s="160"/>
      <c r="E470" s="160"/>
      <c r="F470" s="160"/>
      <c r="G470" s="160"/>
      <c r="H470" s="160"/>
      <c r="I470" s="160"/>
      <c r="J470" s="160"/>
      <c r="K470" s="160"/>
      <c r="L470" s="160"/>
      <c r="M470" s="160"/>
    </row>
    <row r="471" spans="2:13">
      <c r="B471" s="396"/>
      <c r="C471" s="160"/>
      <c r="D471" s="160"/>
      <c r="E471" s="160"/>
      <c r="F471" s="160"/>
      <c r="G471" s="160"/>
      <c r="H471" s="160"/>
      <c r="I471" s="160"/>
      <c r="J471" s="160"/>
      <c r="K471" s="160"/>
      <c r="L471" s="160"/>
      <c r="M471" s="160"/>
    </row>
    <row r="472" spans="2:13">
      <c r="B472" s="396"/>
      <c r="C472" s="160"/>
      <c r="D472" s="160"/>
      <c r="E472" s="160"/>
      <c r="F472" s="160"/>
      <c r="G472" s="160"/>
      <c r="H472" s="160"/>
      <c r="I472" s="160"/>
      <c r="J472" s="160"/>
      <c r="K472" s="160"/>
      <c r="L472" s="160"/>
      <c r="M472" s="160"/>
    </row>
    <row r="473" spans="2:13">
      <c r="B473" s="396"/>
      <c r="C473" s="160"/>
      <c r="D473" s="160"/>
      <c r="E473" s="160"/>
      <c r="F473" s="160"/>
      <c r="G473" s="160"/>
      <c r="H473" s="160"/>
      <c r="I473" s="160"/>
      <c r="J473" s="160"/>
      <c r="K473" s="160"/>
      <c r="L473" s="160"/>
      <c r="M473" s="160"/>
    </row>
    <row r="474" spans="2:13">
      <c r="B474" s="396"/>
      <c r="C474" s="160"/>
      <c r="D474" s="160"/>
      <c r="E474" s="160"/>
      <c r="F474" s="160"/>
      <c r="G474" s="160"/>
      <c r="H474" s="160"/>
      <c r="I474" s="160"/>
      <c r="J474" s="160"/>
      <c r="K474" s="160"/>
      <c r="L474" s="160"/>
      <c r="M474" s="160"/>
    </row>
    <row r="475" spans="2:13">
      <c r="B475" s="396"/>
      <c r="C475" s="160"/>
      <c r="D475" s="160"/>
      <c r="E475" s="160"/>
      <c r="F475" s="160"/>
      <c r="G475" s="160"/>
      <c r="H475" s="160"/>
      <c r="I475" s="160"/>
      <c r="J475" s="160"/>
      <c r="K475" s="160"/>
      <c r="L475" s="160"/>
      <c r="M475" s="160"/>
    </row>
    <row r="476" spans="2:13">
      <c r="B476" s="396"/>
      <c r="C476" s="160"/>
      <c r="D476" s="160"/>
      <c r="E476" s="160"/>
      <c r="F476" s="160"/>
      <c r="G476" s="160"/>
      <c r="H476" s="160"/>
      <c r="I476" s="160"/>
      <c r="J476" s="160"/>
      <c r="K476" s="160"/>
      <c r="L476" s="160"/>
      <c r="M476" s="160"/>
    </row>
    <row r="477" spans="2:13">
      <c r="B477" s="396"/>
      <c r="C477" s="160"/>
      <c r="D477" s="160"/>
      <c r="E477" s="160"/>
      <c r="F477" s="160"/>
      <c r="G477" s="160"/>
      <c r="H477" s="160"/>
      <c r="I477" s="160"/>
      <c r="J477" s="160"/>
      <c r="K477" s="160"/>
      <c r="L477" s="160"/>
      <c r="M477" s="160"/>
    </row>
    <row r="478" spans="2:13">
      <c r="B478" s="396"/>
      <c r="C478" s="160"/>
      <c r="D478" s="160"/>
      <c r="E478" s="160"/>
      <c r="F478" s="160"/>
      <c r="G478" s="160"/>
      <c r="H478" s="160"/>
      <c r="I478" s="160"/>
      <c r="J478" s="160"/>
      <c r="K478" s="160"/>
      <c r="L478" s="160"/>
      <c r="M478" s="160"/>
    </row>
    <row r="479" spans="2:13">
      <c r="B479" s="396"/>
      <c r="C479" s="160"/>
      <c r="D479" s="160"/>
      <c r="E479" s="160"/>
      <c r="F479" s="160"/>
      <c r="G479" s="160"/>
      <c r="H479" s="160"/>
      <c r="I479" s="160"/>
      <c r="J479" s="160"/>
      <c r="K479" s="160"/>
      <c r="L479" s="160"/>
      <c r="M479" s="160"/>
    </row>
    <row r="480" spans="2:13">
      <c r="B480" s="396"/>
      <c r="C480" s="160"/>
      <c r="D480" s="160"/>
      <c r="E480" s="160"/>
      <c r="F480" s="160"/>
      <c r="G480" s="160"/>
      <c r="H480" s="160"/>
      <c r="I480" s="160"/>
      <c r="J480" s="160"/>
      <c r="K480" s="160"/>
      <c r="L480" s="160"/>
      <c r="M480" s="160"/>
    </row>
    <row r="481" spans="2:13">
      <c r="B481" s="396"/>
      <c r="C481" s="160"/>
      <c r="D481" s="160"/>
      <c r="E481" s="160"/>
      <c r="F481" s="160"/>
      <c r="G481" s="160"/>
      <c r="H481" s="160"/>
      <c r="I481" s="160"/>
      <c r="J481" s="160"/>
      <c r="K481" s="160"/>
      <c r="L481" s="160"/>
      <c r="M481" s="160"/>
    </row>
    <row r="482" spans="2:13">
      <c r="B482" s="396"/>
      <c r="C482" s="160"/>
      <c r="D482" s="160"/>
      <c r="E482" s="160"/>
      <c r="F482" s="160"/>
      <c r="G482" s="160"/>
      <c r="H482" s="160"/>
      <c r="I482" s="160"/>
      <c r="J482" s="160"/>
      <c r="K482" s="160"/>
      <c r="L482" s="160"/>
      <c r="M482" s="160"/>
    </row>
    <row r="483" spans="2:13">
      <c r="B483" s="396"/>
      <c r="C483" s="160"/>
      <c r="D483" s="160"/>
      <c r="E483" s="160"/>
      <c r="F483" s="160"/>
      <c r="G483" s="160"/>
      <c r="H483" s="160"/>
      <c r="I483" s="160"/>
      <c r="J483" s="160"/>
      <c r="K483" s="160"/>
      <c r="L483" s="160"/>
      <c r="M483" s="160"/>
    </row>
    <row r="484" spans="2:13">
      <c r="B484" s="396"/>
      <c r="C484" s="160"/>
      <c r="D484" s="160"/>
      <c r="E484" s="160"/>
      <c r="F484" s="160"/>
      <c r="G484" s="160"/>
      <c r="H484" s="160"/>
      <c r="I484" s="160"/>
      <c r="J484" s="160"/>
      <c r="K484" s="160"/>
      <c r="L484" s="160"/>
      <c r="M484" s="160"/>
    </row>
    <row r="485" spans="2:13">
      <c r="B485" s="396"/>
      <c r="C485" s="160"/>
      <c r="D485" s="160"/>
      <c r="E485" s="160"/>
      <c r="F485" s="160"/>
      <c r="G485" s="160"/>
      <c r="H485" s="160"/>
      <c r="I485" s="160"/>
      <c r="J485" s="160"/>
      <c r="K485" s="160"/>
      <c r="L485" s="160"/>
      <c r="M485" s="160"/>
    </row>
    <row r="486" spans="2:13">
      <c r="B486" s="396"/>
      <c r="C486" s="160"/>
      <c r="D486" s="160"/>
      <c r="E486" s="160"/>
      <c r="F486" s="160"/>
      <c r="G486" s="160"/>
      <c r="H486" s="160"/>
      <c r="I486" s="160"/>
      <c r="J486" s="160"/>
      <c r="K486" s="160"/>
      <c r="L486" s="160"/>
      <c r="M486" s="160"/>
    </row>
    <row r="487" spans="2:13">
      <c r="B487" s="396"/>
      <c r="C487" s="160"/>
      <c r="D487" s="160"/>
      <c r="E487" s="160"/>
      <c r="F487" s="160"/>
      <c r="G487" s="160"/>
      <c r="H487" s="160"/>
      <c r="I487" s="160"/>
      <c r="J487" s="160"/>
      <c r="K487" s="160"/>
      <c r="L487" s="160"/>
      <c r="M487" s="160"/>
    </row>
    <row r="488" spans="2:13">
      <c r="B488" s="396"/>
      <c r="C488" s="160"/>
      <c r="D488" s="160"/>
      <c r="E488" s="160"/>
      <c r="F488" s="160"/>
      <c r="G488" s="160"/>
      <c r="H488" s="160"/>
      <c r="I488" s="160"/>
      <c r="J488" s="160"/>
      <c r="K488" s="160"/>
      <c r="L488" s="160"/>
      <c r="M488" s="160"/>
    </row>
    <row r="489" spans="2:13">
      <c r="B489" s="396"/>
      <c r="C489" s="160"/>
      <c r="D489" s="160"/>
      <c r="E489" s="160"/>
      <c r="F489" s="160"/>
      <c r="G489" s="160"/>
      <c r="H489" s="160"/>
      <c r="I489" s="160"/>
      <c r="J489" s="160"/>
      <c r="K489" s="160"/>
      <c r="L489" s="160"/>
      <c r="M489" s="160"/>
    </row>
    <row r="490" spans="2:13">
      <c r="B490" s="396"/>
      <c r="C490" s="160"/>
      <c r="D490" s="160"/>
      <c r="E490" s="160"/>
      <c r="F490" s="160"/>
      <c r="G490" s="160"/>
      <c r="H490" s="160"/>
      <c r="I490" s="160"/>
      <c r="J490" s="160"/>
      <c r="K490" s="160"/>
      <c r="L490" s="160"/>
      <c r="M490" s="160"/>
    </row>
    <row r="491" spans="2:13">
      <c r="B491" s="396"/>
      <c r="C491" s="160"/>
      <c r="D491" s="160"/>
      <c r="E491" s="160"/>
      <c r="F491" s="160"/>
      <c r="G491" s="160"/>
      <c r="H491" s="160"/>
      <c r="I491" s="160"/>
      <c r="J491" s="160"/>
      <c r="K491" s="160"/>
      <c r="L491" s="160"/>
      <c r="M491" s="160"/>
    </row>
    <row r="492" spans="2:13">
      <c r="B492" s="396"/>
      <c r="C492" s="160"/>
      <c r="D492" s="160"/>
      <c r="E492" s="160"/>
      <c r="F492" s="160"/>
      <c r="G492" s="160"/>
      <c r="H492" s="160"/>
      <c r="I492" s="160"/>
      <c r="J492" s="160"/>
      <c r="K492" s="160"/>
      <c r="L492" s="160"/>
      <c r="M492" s="160"/>
    </row>
    <row r="493" spans="2:13">
      <c r="B493" s="396"/>
      <c r="C493" s="160"/>
      <c r="D493" s="160"/>
      <c r="E493" s="160"/>
      <c r="F493" s="160"/>
      <c r="G493" s="160"/>
      <c r="H493" s="160"/>
      <c r="I493" s="160"/>
      <c r="J493" s="160"/>
      <c r="K493" s="160"/>
      <c r="L493" s="160"/>
      <c r="M493" s="160"/>
    </row>
    <row r="494" spans="2:13">
      <c r="B494" s="396"/>
      <c r="C494" s="160"/>
      <c r="D494" s="160"/>
      <c r="E494" s="160"/>
      <c r="F494" s="160"/>
      <c r="G494" s="160"/>
      <c r="H494" s="160"/>
      <c r="I494" s="160"/>
      <c r="J494" s="160"/>
      <c r="K494" s="160"/>
      <c r="L494" s="160"/>
      <c r="M494" s="160"/>
    </row>
    <row r="495" spans="2:13">
      <c r="B495" s="396"/>
      <c r="C495" s="160"/>
      <c r="D495" s="160"/>
      <c r="E495" s="160"/>
      <c r="F495" s="160"/>
      <c r="G495" s="160"/>
      <c r="H495" s="160"/>
      <c r="I495" s="160"/>
      <c r="J495" s="160"/>
      <c r="K495" s="160"/>
      <c r="L495" s="160"/>
      <c r="M495" s="160"/>
    </row>
    <row r="496" spans="2:13">
      <c r="B496" s="396"/>
      <c r="C496" s="160"/>
      <c r="D496" s="160"/>
      <c r="E496" s="160"/>
      <c r="F496" s="160"/>
      <c r="G496" s="160"/>
      <c r="H496" s="160"/>
      <c r="I496" s="160"/>
      <c r="J496" s="160"/>
      <c r="K496" s="160"/>
      <c r="L496" s="160"/>
      <c r="M496" s="160"/>
    </row>
    <row r="497" spans="2:13">
      <c r="B497" s="396"/>
      <c r="C497" s="160"/>
      <c r="D497" s="160"/>
      <c r="E497" s="160"/>
      <c r="F497" s="160"/>
      <c r="G497" s="160"/>
      <c r="H497" s="160"/>
      <c r="I497" s="160"/>
      <c r="J497" s="160"/>
      <c r="K497" s="160"/>
      <c r="L497" s="160"/>
      <c r="M497" s="160"/>
    </row>
    <row r="498" spans="2:13">
      <c r="B498" s="396"/>
      <c r="C498" s="160"/>
      <c r="D498" s="160"/>
      <c r="E498" s="160"/>
      <c r="F498" s="160"/>
      <c r="G498" s="160"/>
      <c r="H498" s="160"/>
      <c r="I498" s="160"/>
      <c r="J498" s="160"/>
      <c r="K498" s="160"/>
      <c r="L498" s="160"/>
      <c r="M498" s="160"/>
    </row>
    <row r="499" spans="2:13">
      <c r="B499" s="396"/>
      <c r="C499" s="160"/>
      <c r="D499" s="160"/>
      <c r="E499" s="160"/>
      <c r="F499" s="160"/>
      <c r="G499" s="160"/>
      <c r="H499" s="160"/>
      <c r="I499" s="160"/>
      <c r="J499" s="160"/>
      <c r="K499" s="160"/>
      <c r="L499" s="160"/>
      <c r="M499" s="160"/>
    </row>
    <row r="500" spans="2:13">
      <c r="B500" s="396"/>
      <c r="C500" s="160"/>
      <c r="D500" s="160"/>
      <c r="E500" s="160"/>
      <c r="F500" s="160"/>
      <c r="G500" s="160"/>
      <c r="H500" s="160"/>
      <c r="I500" s="160"/>
      <c r="J500" s="160"/>
      <c r="K500" s="160"/>
      <c r="L500" s="160"/>
      <c r="M500" s="160"/>
    </row>
    <row r="501" spans="2:13">
      <c r="B501" s="396"/>
      <c r="C501" s="160"/>
      <c r="D501" s="160"/>
      <c r="E501" s="160"/>
      <c r="F501" s="160"/>
      <c r="G501" s="160"/>
      <c r="H501" s="160"/>
      <c r="I501" s="160"/>
      <c r="J501" s="160"/>
      <c r="K501" s="160"/>
      <c r="L501" s="160"/>
      <c r="M501" s="160"/>
    </row>
    <row r="502" spans="2:13">
      <c r="B502" s="396"/>
      <c r="C502" s="160"/>
      <c r="D502" s="160"/>
      <c r="E502" s="160"/>
      <c r="F502" s="160"/>
      <c r="G502" s="160"/>
      <c r="H502" s="160"/>
      <c r="I502" s="160"/>
      <c r="J502" s="160"/>
      <c r="K502" s="160"/>
      <c r="L502" s="160"/>
      <c r="M502" s="160"/>
    </row>
    <row r="503" spans="2:13">
      <c r="B503" s="396"/>
      <c r="C503" s="160"/>
      <c r="D503" s="160"/>
      <c r="E503" s="160"/>
      <c r="F503" s="160"/>
      <c r="G503" s="160"/>
      <c r="H503" s="160"/>
      <c r="I503" s="160"/>
      <c r="J503" s="160"/>
      <c r="K503" s="160"/>
      <c r="L503" s="160"/>
      <c r="M503" s="160"/>
    </row>
    <row r="504" spans="2:13">
      <c r="B504" s="396"/>
      <c r="C504" s="160"/>
      <c r="D504" s="160"/>
      <c r="E504" s="160"/>
      <c r="F504" s="160"/>
      <c r="G504" s="160"/>
      <c r="H504" s="160"/>
      <c r="I504" s="160"/>
      <c r="J504" s="160"/>
      <c r="K504" s="160"/>
      <c r="L504" s="160"/>
      <c r="M504" s="160"/>
    </row>
    <row r="505" spans="2:13">
      <c r="B505" s="396"/>
      <c r="C505" s="160"/>
      <c r="D505" s="160"/>
      <c r="E505" s="160"/>
      <c r="F505" s="160"/>
      <c r="G505" s="160"/>
      <c r="H505" s="160"/>
      <c r="I505" s="160"/>
      <c r="J505" s="160"/>
      <c r="K505" s="160"/>
      <c r="L505" s="160"/>
      <c r="M505" s="160"/>
    </row>
    <row r="506" spans="2:13">
      <c r="B506" s="396"/>
      <c r="C506" s="160"/>
      <c r="D506" s="160"/>
      <c r="E506" s="160"/>
      <c r="F506" s="160"/>
      <c r="G506" s="160"/>
      <c r="H506" s="160"/>
      <c r="I506" s="160"/>
      <c r="J506" s="160"/>
      <c r="K506" s="160"/>
      <c r="L506" s="160"/>
      <c r="M506" s="160"/>
    </row>
    <row r="507" spans="2:13">
      <c r="B507" s="396"/>
      <c r="C507" s="160"/>
      <c r="D507" s="160"/>
      <c r="E507" s="160"/>
      <c r="F507" s="160"/>
      <c r="G507" s="160"/>
      <c r="H507" s="160"/>
      <c r="I507" s="160"/>
      <c r="J507" s="160"/>
      <c r="K507" s="160"/>
      <c r="L507" s="160"/>
      <c r="M507" s="160"/>
    </row>
    <row r="508" spans="2:13">
      <c r="B508" s="396"/>
      <c r="C508" s="160"/>
      <c r="D508" s="160"/>
      <c r="E508" s="160"/>
      <c r="F508" s="160"/>
      <c r="G508" s="160"/>
      <c r="H508" s="160"/>
      <c r="I508" s="160"/>
      <c r="J508" s="160"/>
      <c r="K508" s="160"/>
      <c r="L508" s="160"/>
      <c r="M508" s="160"/>
    </row>
    <row r="509" spans="2:13">
      <c r="B509" s="396"/>
      <c r="C509" s="160"/>
      <c r="D509" s="160"/>
      <c r="E509" s="160"/>
      <c r="F509" s="160"/>
      <c r="G509" s="160"/>
      <c r="H509" s="160"/>
      <c r="I509" s="160"/>
      <c r="J509" s="160"/>
      <c r="K509" s="160"/>
      <c r="L509" s="160"/>
      <c r="M509" s="160"/>
    </row>
    <row r="510" spans="2:13">
      <c r="B510" s="396"/>
      <c r="C510" s="160"/>
      <c r="D510" s="160"/>
      <c r="E510" s="160"/>
      <c r="F510" s="160"/>
      <c r="G510" s="160"/>
      <c r="H510" s="160"/>
      <c r="I510" s="160"/>
      <c r="J510" s="160"/>
      <c r="K510" s="160"/>
      <c r="L510" s="160"/>
      <c r="M510" s="160"/>
    </row>
    <row r="511" spans="2:13">
      <c r="B511" s="396"/>
      <c r="C511" s="160"/>
      <c r="D511" s="160"/>
      <c r="E511" s="160"/>
      <c r="F511" s="160"/>
      <c r="G511" s="160"/>
      <c r="H511" s="160"/>
      <c r="I511" s="160"/>
      <c r="J511" s="160"/>
      <c r="K511" s="160"/>
      <c r="L511" s="160"/>
      <c r="M511" s="160"/>
    </row>
    <row r="512" spans="2:13">
      <c r="B512" s="396"/>
      <c r="C512" s="160"/>
      <c r="D512" s="160"/>
      <c r="E512" s="160"/>
      <c r="F512" s="160"/>
      <c r="G512" s="160"/>
      <c r="H512" s="160"/>
      <c r="I512" s="160"/>
      <c r="J512" s="160"/>
      <c r="K512" s="160"/>
      <c r="L512" s="160"/>
      <c r="M512" s="160"/>
    </row>
    <row r="513" spans="2:13">
      <c r="B513" s="396"/>
      <c r="C513" s="160"/>
      <c r="D513" s="160"/>
      <c r="E513" s="160"/>
      <c r="F513" s="160"/>
      <c r="G513" s="160"/>
      <c r="H513" s="160"/>
      <c r="I513" s="160"/>
      <c r="J513" s="160"/>
      <c r="K513" s="160"/>
      <c r="L513" s="160"/>
      <c r="M513" s="160"/>
    </row>
    <row r="514" spans="2:13">
      <c r="B514" s="396"/>
      <c r="C514" s="160"/>
      <c r="D514" s="160"/>
      <c r="E514" s="160"/>
      <c r="F514" s="160"/>
      <c r="G514" s="160"/>
      <c r="H514" s="160"/>
      <c r="I514" s="160"/>
      <c r="J514" s="160"/>
      <c r="K514" s="160"/>
      <c r="L514" s="160"/>
      <c r="M514" s="160"/>
    </row>
    <row r="515" spans="2:13">
      <c r="B515" s="396"/>
      <c r="C515" s="160"/>
      <c r="D515" s="160"/>
      <c r="E515" s="160"/>
      <c r="F515" s="160"/>
      <c r="G515" s="160"/>
      <c r="H515" s="160"/>
      <c r="I515" s="160"/>
      <c r="J515" s="160"/>
      <c r="K515" s="160"/>
      <c r="L515" s="160"/>
      <c r="M515" s="160"/>
    </row>
    <row r="516" spans="2:13">
      <c r="B516" s="396"/>
      <c r="C516" s="160"/>
      <c r="D516" s="160"/>
      <c r="E516" s="160"/>
      <c r="F516" s="160"/>
      <c r="G516" s="160"/>
      <c r="H516" s="160"/>
      <c r="I516" s="160"/>
      <c r="J516" s="160"/>
      <c r="K516" s="160"/>
      <c r="L516" s="160"/>
      <c r="M516" s="160"/>
    </row>
    <row r="517" spans="2:13">
      <c r="B517" s="396"/>
      <c r="C517" s="160"/>
      <c r="D517" s="160"/>
      <c r="E517" s="160"/>
      <c r="F517" s="160"/>
      <c r="G517" s="160"/>
      <c r="H517" s="160"/>
      <c r="I517" s="160"/>
      <c r="J517" s="160"/>
      <c r="K517" s="160"/>
      <c r="L517" s="160"/>
      <c r="M517" s="160"/>
    </row>
    <row r="518" spans="2:13">
      <c r="B518" s="396"/>
      <c r="C518" s="160"/>
      <c r="D518" s="160"/>
      <c r="E518" s="160"/>
      <c r="F518" s="160"/>
      <c r="G518" s="160"/>
      <c r="H518" s="160"/>
      <c r="I518" s="160"/>
      <c r="J518" s="160"/>
      <c r="K518" s="160"/>
      <c r="L518" s="160"/>
      <c r="M518" s="160"/>
    </row>
    <row r="519" spans="2:13">
      <c r="B519" s="396"/>
      <c r="C519" s="160"/>
      <c r="D519" s="160"/>
      <c r="E519" s="160"/>
      <c r="F519" s="160"/>
      <c r="G519" s="160"/>
      <c r="H519" s="160"/>
      <c r="I519" s="160"/>
      <c r="J519" s="160"/>
      <c r="K519" s="160"/>
      <c r="L519" s="160"/>
      <c r="M519" s="160"/>
    </row>
    <row r="520" spans="2:13">
      <c r="B520" s="396"/>
      <c r="C520" s="160"/>
      <c r="D520" s="160"/>
      <c r="E520" s="160"/>
      <c r="F520" s="160"/>
      <c r="G520" s="160"/>
      <c r="H520" s="160"/>
      <c r="I520" s="160"/>
      <c r="J520" s="160"/>
      <c r="K520" s="160"/>
      <c r="L520" s="160"/>
      <c r="M520" s="160"/>
    </row>
    <row r="521" spans="2:13">
      <c r="B521" s="396"/>
      <c r="C521" s="160"/>
      <c r="D521" s="160"/>
      <c r="E521" s="160"/>
      <c r="F521" s="160"/>
      <c r="G521" s="160"/>
      <c r="H521" s="160"/>
      <c r="I521" s="160"/>
      <c r="J521" s="160"/>
      <c r="K521" s="160"/>
      <c r="L521" s="160"/>
      <c r="M521" s="160"/>
    </row>
    <row r="522" spans="2:13">
      <c r="B522" s="396"/>
      <c r="C522" s="160"/>
      <c r="D522" s="160"/>
      <c r="E522" s="160"/>
      <c r="F522" s="160"/>
      <c r="G522" s="160"/>
      <c r="H522" s="160"/>
      <c r="I522" s="160"/>
      <c r="J522" s="160"/>
      <c r="K522" s="160"/>
      <c r="L522" s="160"/>
      <c r="M522" s="160"/>
    </row>
    <row r="523" spans="2:13">
      <c r="B523" s="396"/>
      <c r="C523" s="160"/>
      <c r="D523" s="160"/>
      <c r="E523" s="160"/>
      <c r="F523" s="160"/>
      <c r="G523" s="160"/>
      <c r="H523" s="160"/>
      <c r="I523" s="160"/>
      <c r="J523" s="160"/>
      <c r="K523" s="160"/>
      <c r="L523" s="160"/>
      <c r="M523" s="160"/>
    </row>
    <row r="524" spans="2:13">
      <c r="B524" s="396"/>
      <c r="C524" s="160"/>
      <c r="D524" s="160"/>
      <c r="E524" s="160"/>
      <c r="F524" s="160"/>
      <c r="G524" s="160"/>
      <c r="H524" s="160"/>
      <c r="I524" s="160"/>
      <c r="J524" s="160"/>
      <c r="K524" s="160"/>
      <c r="L524" s="160"/>
      <c r="M524" s="160"/>
    </row>
    <row r="525" spans="2:13">
      <c r="B525" s="396"/>
      <c r="C525" s="160"/>
      <c r="D525" s="160"/>
      <c r="E525" s="160"/>
      <c r="F525" s="160"/>
      <c r="G525" s="160"/>
      <c r="H525" s="160"/>
      <c r="I525" s="160"/>
      <c r="J525" s="160"/>
      <c r="K525" s="160"/>
      <c r="L525" s="160"/>
      <c r="M525" s="160"/>
    </row>
    <row r="526" spans="2:13">
      <c r="B526" s="396"/>
      <c r="C526" s="160"/>
      <c r="D526" s="160"/>
      <c r="E526" s="160"/>
      <c r="F526" s="160"/>
      <c r="G526" s="160"/>
      <c r="H526" s="160"/>
      <c r="I526" s="160"/>
      <c r="J526" s="160"/>
      <c r="K526" s="160"/>
      <c r="L526" s="160"/>
      <c r="M526" s="160"/>
    </row>
    <row r="527" spans="2:13">
      <c r="B527" s="396"/>
      <c r="C527" s="160"/>
      <c r="D527" s="160"/>
      <c r="E527" s="160"/>
      <c r="F527" s="160"/>
      <c r="G527" s="160"/>
      <c r="H527" s="160"/>
      <c r="I527" s="160"/>
      <c r="J527" s="160"/>
      <c r="K527" s="160"/>
      <c r="L527" s="160"/>
      <c r="M527" s="160"/>
    </row>
    <row r="528" spans="2:13">
      <c r="B528" s="396"/>
      <c r="C528" s="160"/>
      <c r="D528" s="160"/>
      <c r="E528" s="160"/>
      <c r="F528" s="160"/>
      <c r="G528" s="160"/>
      <c r="H528" s="160"/>
      <c r="I528" s="160"/>
      <c r="J528" s="160"/>
      <c r="K528" s="160"/>
      <c r="L528" s="160"/>
      <c r="M528" s="160"/>
    </row>
    <row r="529" spans="2:13">
      <c r="B529" s="396"/>
      <c r="C529" s="160"/>
      <c r="D529" s="160"/>
      <c r="E529" s="160"/>
      <c r="F529" s="160"/>
      <c r="G529" s="160"/>
      <c r="H529" s="160"/>
      <c r="I529" s="160"/>
      <c r="J529" s="160"/>
      <c r="K529" s="160"/>
      <c r="L529" s="160"/>
      <c r="M529" s="160"/>
    </row>
    <row r="530" spans="2:13">
      <c r="B530" s="396"/>
      <c r="C530" s="160"/>
      <c r="D530" s="160"/>
      <c r="E530" s="160"/>
      <c r="F530" s="160"/>
      <c r="G530" s="160"/>
      <c r="H530" s="160"/>
      <c r="I530" s="160"/>
      <c r="J530" s="160"/>
      <c r="K530" s="160"/>
      <c r="L530" s="160"/>
      <c r="M530" s="160"/>
    </row>
    <row r="531" spans="2:13">
      <c r="B531" s="396"/>
      <c r="C531" s="160"/>
      <c r="D531" s="160"/>
      <c r="E531" s="160"/>
      <c r="F531" s="160"/>
      <c r="G531" s="160"/>
      <c r="H531" s="160"/>
      <c r="I531" s="160"/>
      <c r="J531" s="160"/>
      <c r="K531" s="160"/>
      <c r="L531" s="160"/>
      <c r="M531" s="160"/>
    </row>
    <row r="532" spans="2:13">
      <c r="B532" s="396"/>
      <c r="C532" s="160"/>
      <c r="D532" s="160"/>
      <c r="E532" s="160"/>
      <c r="F532" s="160"/>
      <c r="G532" s="160"/>
      <c r="H532" s="160"/>
      <c r="I532" s="160"/>
      <c r="J532" s="160"/>
      <c r="K532" s="160"/>
      <c r="L532" s="160"/>
      <c r="M532" s="160"/>
    </row>
    <row r="533" spans="2:13">
      <c r="B533" s="396"/>
      <c r="C533" s="160"/>
      <c r="D533" s="160"/>
      <c r="E533" s="160"/>
      <c r="F533" s="160"/>
      <c r="G533" s="160"/>
      <c r="H533" s="160"/>
      <c r="I533" s="160"/>
      <c r="J533" s="160"/>
      <c r="K533" s="160"/>
      <c r="L533" s="160"/>
      <c r="M533" s="160"/>
    </row>
    <row r="534" spans="2:13">
      <c r="B534" s="396"/>
      <c r="C534" s="160"/>
      <c r="D534" s="160"/>
      <c r="E534" s="160"/>
      <c r="F534" s="160"/>
      <c r="G534" s="160"/>
      <c r="H534" s="160"/>
      <c r="I534" s="160"/>
      <c r="J534" s="160"/>
      <c r="K534" s="160"/>
      <c r="L534" s="160"/>
      <c r="M534" s="160"/>
    </row>
    <row r="535" spans="2:13">
      <c r="B535" s="396"/>
      <c r="C535" s="160"/>
      <c r="D535" s="160"/>
      <c r="E535" s="160"/>
      <c r="F535" s="160"/>
      <c r="G535" s="160"/>
      <c r="H535" s="160"/>
      <c r="I535" s="160"/>
      <c r="J535" s="160"/>
      <c r="K535" s="160"/>
      <c r="L535" s="160"/>
      <c r="M535" s="160"/>
    </row>
    <row r="536" spans="2:13">
      <c r="B536" s="396"/>
      <c r="C536" s="160"/>
      <c r="D536" s="160"/>
      <c r="E536" s="160"/>
      <c r="F536" s="160"/>
      <c r="G536" s="160"/>
      <c r="H536" s="160"/>
      <c r="I536" s="160"/>
      <c r="J536" s="160"/>
      <c r="K536" s="160"/>
      <c r="L536" s="160"/>
      <c r="M536" s="160"/>
    </row>
    <row r="537" spans="2:13">
      <c r="B537" s="396"/>
      <c r="C537" s="160"/>
      <c r="D537" s="160"/>
      <c r="E537" s="160"/>
      <c r="F537" s="160"/>
      <c r="G537" s="160"/>
      <c r="H537" s="160"/>
      <c r="I537" s="160"/>
      <c r="J537" s="160"/>
      <c r="K537" s="160"/>
      <c r="L537" s="160"/>
      <c r="M537" s="160"/>
    </row>
    <row r="538" spans="2:13">
      <c r="B538" s="396"/>
      <c r="C538" s="160"/>
      <c r="D538" s="160"/>
      <c r="E538" s="160"/>
      <c r="F538" s="160"/>
      <c r="G538" s="160"/>
      <c r="H538" s="160"/>
      <c r="I538" s="160"/>
      <c r="J538" s="160"/>
      <c r="K538" s="160"/>
      <c r="L538" s="160"/>
      <c r="M538" s="160"/>
    </row>
    <row r="539" spans="2:13">
      <c r="B539" s="396"/>
      <c r="C539" s="160"/>
      <c r="D539" s="160"/>
      <c r="E539" s="160"/>
      <c r="F539" s="160"/>
      <c r="G539" s="160"/>
      <c r="H539" s="160"/>
      <c r="I539" s="160"/>
      <c r="J539" s="160"/>
      <c r="K539" s="160"/>
      <c r="L539" s="160"/>
      <c r="M539" s="160"/>
    </row>
    <row r="540" spans="2:13">
      <c r="B540" s="396"/>
      <c r="C540" s="160"/>
      <c r="D540" s="160"/>
      <c r="E540" s="160"/>
      <c r="F540" s="160"/>
      <c r="G540" s="160"/>
      <c r="H540" s="160"/>
      <c r="I540" s="160"/>
      <c r="J540" s="160"/>
      <c r="K540" s="160"/>
      <c r="L540" s="160"/>
      <c r="M540" s="160"/>
    </row>
    <row r="541" spans="2:13">
      <c r="B541" s="396"/>
      <c r="C541" s="160"/>
      <c r="D541" s="160"/>
      <c r="E541" s="160"/>
      <c r="F541" s="160"/>
      <c r="G541" s="160"/>
      <c r="H541" s="160"/>
      <c r="I541" s="160"/>
      <c r="J541" s="160"/>
      <c r="K541" s="160"/>
      <c r="L541" s="160"/>
      <c r="M541" s="160"/>
    </row>
    <row r="542" spans="2:13">
      <c r="B542" s="396"/>
      <c r="C542" s="160"/>
      <c r="D542" s="160"/>
      <c r="E542" s="160"/>
      <c r="F542" s="160"/>
      <c r="G542" s="160"/>
      <c r="H542" s="160"/>
      <c r="I542" s="160"/>
      <c r="J542" s="160"/>
      <c r="K542" s="160"/>
      <c r="L542" s="160"/>
      <c r="M542" s="160"/>
    </row>
    <row r="543" spans="2:13">
      <c r="B543" s="396"/>
      <c r="C543" s="160"/>
      <c r="D543" s="160"/>
      <c r="E543" s="160"/>
      <c r="F543" s="160"/>
      <c r="G543" s="160"/>
      <c r="H543" s="160"/>
      <c r="I543" s="160"/>
      <c r="J543" s="160"/>
      <c r="K543" s="160"/>
      <c r="L543" s="160"/>
      <c r="M543" s="160"/>
    </row>
    <row r="544" spans="2:13">
      <c r="B544" s="396"/>
      <c r="C544" s="160"/>
      <c r="D544" s="160"/>
      <c r="E544" s="160"/>
      <c r="F544" s="160"/>
      <c r="G544" s="160"/>
      <c r="H544" s="160"/>
      <c r="I544" s="160"/>
      <c r="J544" s="160"/>
      <c r="K544" s="160"/>
      <c r="L544" s="160"/>
      <c r="M544" s="160"/>
    </row>
    <row r="545" spans="2:13">
      <c r="B545" s="396"/>
      <c r="C545" s="160"/>
      <c r="D545" s="160"/>
      <c r="E545" s="160"/>
      <c r="F545" s="160"/>
      <c r="G545" s="160"/>
      <c r="H545" s="160"/>
      <c r="I545" s="160"/>
      <c r="J545" s="160"/>
      <c r="K545" s="160"/>
      <c r="L545" s="160"/>
      <c r="M545" s="160"/>
    </row>
    <row r="546" spans="2:13">
      <c r="B546" s="396"/>
      <c r="C546" s="160"/>
      <c r="D546" s="160"/>
      <c r="E546" s="160"/>
      <c r="F546" s="160"/>
      <c r="G546" s="160"/>
      <c r="H546" s="160"/>
      <c r="I546" s="160"/>
      <c r="J546" s="160"/>
      <c r="K546" s="160"/>
      <c r="L546" s="160"/>
      <c r="M546" s="160"/>
    </row>
    <row r="547" spans="2:13">
      <c r="B547" s="396"/>
      <c r="C547" s="160"/>
      <c r="D547" s="160"/>
      <c r="E547" s="160"/>
      <c r="F547" s="160"/>
      <c r="G547" s="160"/>
      <c r="H547" s="160"/>
      <c r="I547" s="160"/>
      <c r="J547" s="160"/>
      <c r="K547" s="160"/>
      <c r="L547" s="160"/>
      <c r="M547" s="160"/>
    </row>
    <row r="548" spans="2:13">
      <c r="B548" s="396"/>
      <c r="C548" s="160"/>
      <c r="D548" s="160"/>
      <c r="E548" s="160"/>
      <c r="F548" s="160"/>
      <c r="G548" s="160"/>
      <c r="H548" s="160"/>
      <c r="I548" s="160"/>
      <c r="J548" s="160"/>
      <c r="K548" s="160"/>
      <c r="L548" s="160"/>
      <c r="M548" s="160"/>
    </row>
    <row r="549" spans="2:13">
      <c r="B549" s="396"/>
      <c r="C549" s="160"/>
      <c r="D549" s="160"/>
      <c r="E549" s="160"/>
      <c r="F549" s="160"/>
      <c r="G549" s="160"/>
      <c r="H549" s="160"/>
      <c r="I549" s="160"/>
      <c r="J549" s="160"/>
      <c r="K549" s="160"/>
      <c r="L549" s="160"/>
      <c r="M549" s="160"/>
    </row>
    <row r="550" spans="2:13">
      <c r="B550" s="396"/>
      <c r="C550" s="160"/>
      <c r="D550" s="160"/>
      <c r="E550" s="160"/>
      <c r="F550" s="160"/>
      <c r="G550" s="160"/>
      <c r="H550" s="160"/>
      <c r="I550" s="160"/>
      <c r="J550" s="160"/>
      <c r="K550" s="160"/>
      <c r="L550" s="160"/>
      <c r="M550" s="160"/>
    </row>
    <row r="551" spans="2:13">
      <c r="B551" s="396"/>
      <c r="C551" s="160"/>
      <c r="D551" s="160"/>
      <c r="E551" s="160"/>
      <c r="F551" s="160"/>
      <c r="G551" s="160"/>
      <c r="H551" s="160"/>
      <c r="I551" s="160"/>
      <c r="J551" s="160"/>
      <c r="K551" s="160"/>
      <c r="L551" s="160"/>
      <c r="M551" s="160"/>
    </row>
    <row r="552" spans="2:13">
      <c r="B552" s="396"/>
      <c r="C552" s="160"/>
      <c r="D552" s="160"/>
      <c r="E552" s="160"/>
      <c r="F552" s="160"/>
      <c r="G552" s="160"/>
      <c r="H552" s="160"/>
      <c r="I552" s="160"/>
      <c r="J552" s="160"/>
      <c r="K552" s="160"/>
      <c r="L552" s="160"/>
      <c r="M552" s="160"/>
    </row>
    <row r="553" spans="2:13">
      <c r="B553" s="396"/>
      <c r="C553" s="160"/>
      <c r="D553" s="160"/>
      <c r="E553" s="160"/>
      <c r="F553" s="160"/>
      <c r="G553" s="160"/>
      <c r="H553" s="160"/>
      <c r="I553" s="160"/>
      <c r="J553" s="160"/>
      <c r="K553" s="160"/>
      <c r="L553" s="160"/>
      <c r="M553" s="160"/>
    </row>
    <row r="554" spans="2:13">
      <c r="B554" s="396"/>
      <c r="C554" s="160"/>
      <c r="D554" s="160"/>
      <c r="E554" s="160"/>
      <c r="F554" s="160"/>
      <c r="G554" s="160"/>
      <c r="H554" s="160"/>
      <c r="I554" s="160"/>
      <c r="J554" s="160"/>
      <c r="K554" s="160"/>
      <c r="L554" s="160"/>
      <c r="M554" s="160"/>
    </row>
    <row r="555" spans="2:13">
      <c r="B555" s="396"/>
      <c r="C555" s="160"/>
      <c r="D555" s="160"/>
      <c r="E555" s="160"/>
      <c r="F555" s="160"/>
      <c r="G555" s="160"/>
      <c r="H555" s="160"/>
      <c r="I555" s="160"/>
      <c r="J555" s="160"/>
      <c r="K555" s="160"/>
      <c r="L555" s="160"/>
      <c r="M555" s="160"/>
    </row>
    <row r="556" spans="2:13">
      <c r="B556" s="396"/>
      <c r="C556" s="160"/>
      <c r="D556" s="160"/>
      <c r="E556" s="160"/>
      <c r="F556" s="160"/>
      <c r="G556" s="160"/>
      <c r="H556" s="160"/>
      <c r="I556" s="160"/>
      <c r="J556" s="160"/>
      <c r="K556" s="160"/>
      <c r="L556" s="160"/>
      <c r="M556" s="160"/>
    </row>
    <row r="557" spans="2:13">
      <c r="B557" s="396"/>
      <c r="C557" s="160"/>
      <c r="D557" s="160"/>
      <c r="E557" s="160"/>
      <c r="F557" s="160"/>
      <c r="G557" s="160"/>
      <c r="H557" s="160"/>
      <c r="I557" s="160"/>
      <c r="J557" s="160"/>
      <c r="K557" s="160"/>
      <c r="L557" s="160"/>
      <c r="M557" s="160"/>
    </row>
    <row r="558" spans="2:13">
      <c r="B558" s="396"/>
      <c r="C558" s="160"/>
      <c r="D558" s="160"/>
      <c r="E558" s="160"/>
      <c r="F558" s="160"/>
      <c r="G558" s="160"/>
      <c r="H558" s="160"/>
      <c r="I558" s="160"/>
      <c r="J558" s="160"/>
      <c r="K558" s="160"/>
      <c r="L558" s="160"/>
      <c r="M558" s="160"/>
    </row>
    <row r="559" spans="2:13">
      <c r="B559" s="396"/>
      <c r="C559" s="160"/>
      <c r="D559" s="160"/>
      <c r="E559" s="160"/>
      <c r="F559" s="160"/>
      <c r="G559" s="160"/>
      <c r="H559" s="160"/>
      <c r="I559" s="160"/>
      <c r="J559" s="160"/>
      <c r="K559" s="160"/>
      <c r="L559" s="160"/>
      <c r="M559" s="160"/>
    </row>
    <row r="560" spans="2:13">
      <c r="B560" s="396"/>
      <c r="C560" s="160"/>
      <c r="D560" s="160"/>
      <c r="E560" s="160"/>
      <c r="F560" s="160"/>
      <c r="G560" s="160"/>
      <c r="H560" s="160"/>
      <c r="I560" s="160"/>
      <c r="J560" s="160"/>
      <c r="K560" s="160"/>
      <c r="L560" s="160"/>
      <c r="M560" s="160"/>
    </row>
    <row r="561" spans="2:13">
      <c r="B561" s="396"/>
      <c r="C561" s="160"/>
      <c r="D561" s="160"/>
      <c r="E561" s="160"/>
      <c r="F561" s="160"/>
      <c r="G561" s="160"/>
      <c r="H561" s="160"/>
      <c r="I561" s="160"/>
      <c r="J561" s="160"/>
      <c r="K561" s="160"/>
      <c r="L561" s="160"/>
      <c r="M561" s="160"/>
    </row>
    <row r="562" spans="2:13">
      <c r="B562" s="396"/>
      <c r="C562" s="160"/>
      <c r="D562" s="160"/>
      <c r="E562" s="160"/>
      <c r="F562" s="160"/>
      <c r="G562" s="160"/>
      <c r="H562" s="160"/>
      <c r="I562" s="160"/>
      <c r="J562" s="160"/>
      <c r="K562" s="160"/>
      <c r="L562" s="160"/>
      <c r="M562" s="160"/>
    </row>
    <row r="563" spans="2:13">
      <c r="B563" s="396"/>
      <c r="C563" s="160"/>
      <c r="D563" s="160"/>
      <c r="E563" s="160"/>
      <c r="F563" s="160"/>
      <c r="G563" s="160"/>
      <c r="H563" s="160"/>
      <c r="I563" s="160"/>
      <c r="J563" s="160"/>
      <c r="K563" s="160"/>
      <c r="L563" s="160"/>
      <c r="M563" s="160"/>
    </row>
    <row r="564" spans="2:13">
      <c r="B564" s="396"/>
      <c r="C564" s="160"/>
      <c r="D564" s="160"/>
      <c r="E564" s="160"/>
      <c r="F564" s="160"/>
      <c r="G564" s="160"/>
      <c r="H564" s="160"/>
      <c r="I564" s="160"/>
      <c r="J564" s="160"/>
      <c r="K564" s="160"/>
      <c r="L564" s="160"/>
      <c r="M564" s="160"/>
    </row>
    <row r="565" spans="2:13">
      <c r="B565" s="396"/>
      <c r="C565" s="160"/>
      <c r="D565" s="160"/>
      <c r="E565" s="160"/>
      <c r="F565" s="160"/>
      <c r="G565" s="160"/>
      <c r="H565" s="160"/>
      <c r="I565" s="160"/>
      <c r="J565" s="160"/>
      <c r="K565" s="160"/>
      <c r="L565" s="160"/>
      <c r="M565" s="160"/>
    </row>
    <row r="566" spans="2:13">
      <c r="B566" s="396"/>
      <c r="C566" s="160"/>
      <c r="D566" s="160"/>
      <c r="E566" s="160"/>
      <c r="F566" s="160"/>
      <c r="G566" s="160"/>
      <c r="H566" s="160"/>
      <c r="I566" s="160"/>
      <c r="J566" s="160"/>
      <c r="K566" s="160"/>
      <c r="L566" s="160"/>
      <c r="M566" s="160"/>
    </row>
    <row r="567" spans="2:13">
      <c r="B567" s="396"/>
      <c r="C567" s="160"/>
      <c r="D567" s="160"/>
      <c r="E567" s="160"/>
      <c r="F567" s="160"/>
      <c r="G567" s="160"/>
      <c r="H567" s="160"/>
      <c r="I567" s="160"/>
      <c r="J567" s="160"/>
      <c r="K567" s="160"/>
      <c r="L567" s="160"/>
      <c r="M567" s="160"/>
    </row>
    <row r="568" spans="2:13">
      <c r="B568" s="396"/>
      <c r="C568" s="160"/>
      <c r="D568" s="160"/>
      <c r="E568" s="160"/>
      <c r="F568" s="160"/>
      <c r="G568" s="160"/>
      <c r="H568" s="160"/>
      <c r="I568" s="160"/>
      <c r="J568" s="160"/>
      <c r="K568" s="160"/>
      <c r="L568" s="160"/>
      <c r="M568" s="160"/>
    </row>
    <row r="569" spans="2:13">
      <c r="B569" s="396"/>
      <c r="C569" s="160"/>
      <c r="D569" s="160"/>
      <c r="E569" s="160"/>
      <c r="F569" s="160"/>
      <c r="G569" s="160"/>
      <c r="H569" s="160"/>
      <c r="I569" s="160"/>
      <c r="J569" s="160"/>
      <c r="K569" s="160"/>
      <c r="L569" s="160"/>
      <c r="M569" s="160"/>
    </row>
    <row r="570" spans="2:13">
      <c r="B570" s="396"/>
      <c r="C570" s="160"/>
      <c r="D570" s="160"/>
      <c r="E570" s="160"/>
      <c r="F570" s="160"/>
      <c r="G570" s="160"/>
      <c r="H570" s="160"/>
      <c r="I570" s="160"/>
      <c r="J570" s="160"/>
      <c r="K570" s="160"/>
      <c r="L570" s="160"/>
      <c r="M570" s="160"/>
    </row>
    <row r="571" spans="2:13">
      <c r="B571" s="396"/>
      <c r="C571" s="160"/>
      <c r="D571" s="160"/>
      <c r="E571" s="160"/>
      <c r="F571" s="160"/>
      <c r="G571" s="160"/>
      <c r="H571" s="160"/>
      <c r="I571" s="160"/>
      <c r="J571" s="160"/>
      <c r="K571" s="160"/>
      <c r="L571" s="160"/>
      <c r="M571" s="160"/>
    </row>
    <row r="572" spans="2:13">
      <c r="B572" s="396"/>
      <c r="C572" s="160"/>
      <c r="D572" s="160"/>
      <c r="E572" s="160"/>
      <c r="F572" s="160"/>
      <c r="G572" s="160"/>
      <c r="H572" s="160"/>
      <c r="I572" s="160"/>
      <c r="J572" s="160"/>
      <c r="K572" s="160"/>
      <c r="L572" s="160"/>
      <c r="M572" s="160"/>
    </row>
    <row r="573" spans="2:13">
      <c r="B573" s="396"/>
      <c r="C573" s="160"/>
      <c r="D573" s="160"/>
      <c r="E573" s="160"/>
      <c r="F573" s="160"/>
      <c r="G573" s="160"/>
      <c r="H573" s="160"/>
      <c r="I573" s="160"/>
      <c r="J573" s="160"/>
      <c r="K573" s="160"/>
      <c r="L573" s="160"/>
      <c r="M573" s="160"/>
    </row>
    <row r="574" spans="2:13">
      <c r="B574" s="396"/>
      <c r="C574" s="160"/>
      <c r="D574" s="160"/>
      <c r="E574" s="160"/>
      <c r="F574" s="160"/>
      <c r="G574" s="160"/>
      <c r="H574" s="160"/>
      <c r="I574" s="160"/>
      <c r="J574" s="160"/>
      <c r="K574" s="160"/>
      <c r="L574" s="160"/>
      <c r="M574" s="160"/>
    </row>
    <row r="575" spans="2:13">
      <c r="B575" s="396"/>
      <c r="C575" s="160"/>
      <c r="D575" s="160"/>
      <c r="E575" s="160"/>
      <c r="F575" s="160"/>
      <c r="G575" s="160"/>
      <c r="H575" s="160"/>
      <c r="I575" s="160"/>
      <c r="J575" s="160"/>
      <c r="K575" s="160"/>
      <c r="L575" s="160"/>
      <c r="M575" s="160"/>
    </row>
    <row r="576" spans="2:13">
      <c r="B576" s="396"/>
      <c r="C576" s="160"/>
      <c r="D576" s="160"/>
      <c r="E576" s="160"/>
      <c r="F576" s="160"/>
      <c r="G576" s="160"/>
      <c r="H576" s="160"/>
      <c r="I576" s="160"/>
      <c r="J576" s="160"/>
      <c r="K576" s="160"/>
      <c r="L576" s="160"/>
      <c r="M576" s="160"/>
    </row>
    <row r="577" spans="2:13">
      <c r="B577" s="396"/>
      <c r="C577" s="160"/>
      <c r="D577" s="160"/>
      <c r="E577" s="160"/>
      <c r="F577" s="160"/>
      <c r="G577" s="160"/>
      <c r="H577" s="160"/>
      <c r="I577" s="160"/>
      <c r="J577" s="160"/>
      <c r="K577" s="160"/>
      <c r="L577" s="160"/>
      <c r="M577" s="160"/>
    </row>
    <row r="578" spans="2:13">
      <c r="B578" s="396"/>
      <c r="C578" s="160"/>
      <c r="D578" s="160"/>
      <c r="E578" s="160"/>
      <c r="F578" s="160"/>
      <c r="G578" s="160"/>
      <c r="H578" s="160"/>
      <c r="I578" s="160"/>
      <c r="J578" s="160"/>
      <c r="K578" s="160"/>
      <c r="L578" s="160"/>
      <c r="M578" s="160"/>
    </row>
    <row r="579" spans="2:13">
      <c r="B579" s="396"/>
      <c r="C579" s="160"/>
      <c r="D579" s="160"/>
      <c r="E579" s="160"/>
      <c r="F579" s="160"/>
      <c r="G579" s="160"/>
      <c r="H579" s="160"/>
      <c r="I579" s="160"/>
      <c r="J579" s="160"/>
      <c r="K579" s="160"/>
      <c r="L579" s="160"/>
      <c r="M579" s="160"/>
    </row>
    <row r="580" spans="2:13">
      <c r="B580" s="396"/>
      <c r="C580" s="160"/>
      <c r="D580" s="160"/>
      <c r="E580" s="160"/>
      <c r="F580" s="160"/>
      <c r="G580" s="160"/>
      <c r="H580" s="160"/>
      <c r="I580" s="160"/>
      <c r="J580" s="160"/>
      <c r="K580" s="160"/>
      <c r="L580" s="160"/>
      <c r="M580" s="160"/>
    </row>
    <row r="581" spans="2:13">
      <c r="B581" s="396"/>
      <c r="C581" s="160"/>
      <c r="D581" s="160"/>
      <c r="E581" s="160"/>
      <c r="F581" s="160"/>
      <c r="G581" s="160"/>
      <c r="H581" s="160"/>
      <c r="I581" s="160"/>
      <c r="J581" s="160"/>
      <c r="K581" s="160"/>
      <c r="L581" s="160"/>
      <c r="M581" s="160"/>
    </row>
    <row r="582" spans="2:13">
      <c r="B582" s="396"/>
      <c r="C582" s="160"/>
      <c r="D582" s="160"/>
      <c r="E582" s="160"/>
      <c r="F582" s="160"/>
      <c r="G582" s="160"/>
      <c r="H582" s="160"/>
      <c r="I582" s="160"/>
      <c r="J582" s="160"/>
      <c r="K582" s="160"/>
      <c r="L582" s="160"/>
      <c r="M582" s="160"/>
    </row>
    <row r="583" spans="2:13">
      <c r="B583" s="396"/>
      <c r="C583" s="160"/>
      <c r="D583" s="160"/>
      <c r="E583" s="160"/>
      <c r="F583" s="160"/>
      <c r="G583" s="160"/>
      <c r="H583" s="160"/>
      <c r="I583" s="160"/>
      <c r="J583" s="160"/>
      <c r="K583" s="160"/>
      <c r="L583" s="160"/>
      <c r="M583" s="160"/>
    </row>
    <row r="584" spans="2:13">
      <c r="B584" s="396"/>
      <c r="C584" s="160"/>
      <c r="D584" s="160"/>
      <c r="E584" s="160"/>
      <c r="F584" s="160"/>
      <c r="G584" s="160"/>
      <c r="H584" s="160"/>
      <c r="I584" s="160"/>
      <c r="J584" s="160"/>
      <c r="K584" s="160"/>
      <c r="L584" s="160"/>
      <c r="M584" s="160"/>
    </row>
    <row r="585" spans="2:13">
      <c r="B585" s="396"/>
      <c r="C585" s="160"/>
      <c r="D585" s="160"/>
      <c r="E585" s="160"/>
      <c r="F585" s="160"/>
      <c r="G585" s="160"/>
      <c r="H585" s="160"/>
      <c r="I585" s="160"/>
      <c r="J585" s="160"/>
      <c r="K585" s="160"/>
      <c r="L585" s="160"/>
      <c r="M585" s="160"/>
    </row>
    <row r="586" spans="2:13">
      <c r="B586" s="396"/>
      <c r="C586" s="160"/>
      <c r="D586" s="160"/>
      <c r="E586" s="160"/>
      <c r="F586" s="160"/>
      <c r="G586" s="160"/>
      <c r="H586" s="160"/>
      <c r="I586" s="160"/>
      <c r="J586" s="160"/>
      <c r="K586" s="160"/>
      <c r="L586" s="160"/>
      <c r="M586" s="160"/>
    </row>
    <row r="587" spans="2:13">
      <c r="B587" s="396"/>
      <c r="C587" s="160"/>
      <c r="D587" s="160"/>
      <c r="E587" s="160"/>
      <c r="F587" s="160"/>
      <c r="G587" s="160"/>
      <c r="H587" s="160"/>
      <c r="I587" s="160"/>
      <c r="J587" s="160"/>
      <c r="K587" s="160"/>
      <c r="L587" s="160"/>
      <c r="M587" s="160"/>
    </row>
    <row r="588" spans="2:13">
      <c r="B588" s="396"/>
      <c r="C588" s="160"/>
      <c r="D588" s="160"/>
      <c r="E588" s="160"/>
      <c r="F588" s="160"/>
      <c r="G588" s="160"/>
      <c r="H588" s="160"/>
      <c r="I588" s="160"/>
      <c r="J588" s="160"/>
      <c r="K588" s="160"/>
      <c r="L588" s="160"/>
      <c r="M588" s="160"/>
    </row>
    <row r="589" spans="2:13">
      <c r="B589" s="396"/>
      <c r="C589" s="160"/>
      <c r="D589" s="160"/>
      <c r="E589" s="160"/>
      <c r="F589" s="160"/>
      <c r="G589" s="160"/>
      <c r="H589" s="160"/>
      <c r="I589" s="160"/>
      <c r="J589" s="160"/>
      <c r="K589" s="160"/>
      <c r="L589" s="160"/>
      <c r="M589" s="160"/>
    </row>
    <row r="590" spans="2:13">
      <c r="B590" s="396"/>
      <c r="C590" s="160"/>
      <c r="D590" s="160"/>
      <c r="E590" s="160"/>
      <c r="F590" s="160"/>
      <c r="G590" s="160"/>
      <c r="H590" s="160"/>
      <c r="I590" s="160"/>
      <c r="J590" s="160"/>
      <c r="K590" s="160"/>
      <c r="L590" s="160"/>
      <c r="M590" s="160"/>
    </row>
    <row r="591" spans="2:13">
      <c r="B591" s="396"/>
      <c r="C591" s="160"/>
      <c r="D591" s="160"/>
      <c r="E591" s="160"/>
      <c r="F591" s="160"/>
      <c r="G591" s="160"/>
      <c r="H591" s="160"/>
      <c r="I591" s="160"/>
      <c r="J591" s="160"/>
      <c r="K591" s="160"/>
      <c r="L591" s="160"/>
      <c r="M591" s="160"/>
    </row>
    <row r="592" spans="2:13">
      <c r="B592" s="396"/>
      <c r="C592" s="160"/>
      <c r="D592" s="160"/>
      <c r="E592" s="160"/>
      <c r="F592" s="160"/>
      <c r="G592" s="160"/>
      <c r="H592" s="160"/>
      <c r="I592" s="160"/>
      <c r="J592" s="160"/>
      <c r="K592" s="160"/>
      <c r="L592" s="160"/>
      <c r="M592" s="160"/>
    </row>
    <row r="593" spans="2:13">
      <c r="B593" s="396"/>
      <c r="C593" s="160"/>
      <c r="D593" s="160"/>
      <c r="E593" s="160"/>
      <c r="F593" s="160"/>
      <c r="G593" s="160"/>
      <c r="H593" s="160"/>
      <c r="I593" s="160"/>
      <c r="J593" s="160"/>
      <c r="K593" s="160"/>
      <c r="L593" s="160"/>
      <c r="M593" s="160"/>
    </row>
    <row r="594" spans="2:13">
      <c r="B594" s="396"/>
      <c r="C594" s="160"/>
      <c r="D594" s="160"/>
      <c r="E594" s="160"/>
      <c r="F594" s="160"/>
      <c r="G594" s="160"/>
      <c r="H594" s="160"/>
      <c r="I594" s="160"/>
      <c r="J594" s="160"/>
      <c r="K594" s="160"/>
      <c r="L594" s="160"/>
      <c r="M594" s="160"/>
    </row>
    <row r="595" spans="2:13">
      <c r="B595" s="396"/>
      <c r="C595" s="160"/>
      <c r="D595" s="160"/>
      <c r="E595" s="160"/>
      <c r="F595" s="160"/>
      <c r="G595" s="160"/>
      <c r="H595" s="160"/>
      <c r="I595" s="160"/>
      <c r="J595" s="160"/>
      <c r="K595" s="160"/>
      <c r="L595" s="160"/>
      <c r="M595" s="160"/>
    </row>
    <row r="596" spans="2:13">
      <c r="B596" s="396"/>
      <c r="C596" s="160"/>
      <c r="D596" s="160"/>
      <c r="E596" s="160"/>
      <c r="F596" s="160"/>
      <c r="G596" s="160"/>
      <c r="H596" s="160"/>
      <c r="I596" s="160"/>
      <c r="J596" s="160"/>
      <c r="K596" s="160"/>
      <c r="L596" s="160"/>
      <c r="M596" s="160"/>
    </row>
    <row r="597" spans="2:13">
      <c r="B597" s="396"/>
      <c r="C597" s="160"/>
      <c r="D597" s="160"/>
      <c r="E597" s="160"/>
      <c r="F597" s="160"/>
      <c r="G597" s="160"/>
      <c r="H597" s="160"/>
      <c r="I597" s="160"/>
      <c r="J597" s="160"/>
      <c r="K597" s="160"/>
      <c r="L597" s="160"/>
      <c r="M597" s="160"/>
    </row>
    <row r="598" spans="2:13">
      <c r="B598" s="396"/>
      <c r="C598" s="160"/>
      <c r="D598" s="160"/>
      <c r="E598" s="160"/>
      <c r="F598" s="160"/>
      <c r="G598" s="160"/>
      <c r="H598" s="160"/>
      <c r="I598" s="160"/>
      <c r="J598" s="160"/>
      <c r="K598" s="160"/>
      <c r="L598" s="160"/>
      <c r="M598" s="160"/>
    </row>
    <row r="599" spans="2:13">
      <c r="B599" s="396"/>
      <c r="C599" s="160"/>
      <c r="D599" s="160"/>
      <c r="E599" s="160"/>
      <c r="F599" s="160"/>
      <c r="G599" s="160"/>
      <c r="H599" s="160"/>
      <c r="I599" s="160"/>
      <c r="J599" s="160"/>
      <c r="K599" s="160"/>
      <c r="L599" s="160"/>
      <c r="M599" s="160"/>
    </row>
    <row r="600" spans="2:13">
      <c r="B600" s="396"/>
      <c r="C600" s="160"/>
      <c r="D600" s="160"/>
      <c r="E600" s="160"/>
      <c r="F600" s="160"/>
      <c r="G600" s="160"/>
      <c r="H600" s="160"/>
      <c r="I600" s="160"/>
      <c r="J600" s="160"/>
      <c r="K600" s="160"/>
      <c r="L600" s="160"/>
      <c r="M600" s="160"/>
    </row>
    <row r="601" spans="2:13">
      <c r="B601" s="396"/>
      <c r="C601" s="160"/>
      <c r="D601" s="160"/>
      <c r="E601" s="160"/>
      <c r="F601" s="160"/>
      <c r="G601" s="160"/>
      <c r="H601" s="160"/>
      <c r="I601" s="160"/>
      <c r="J601" s="160"/>
      <c r="K601" s="160"/>
      <c r="L601" s="160"/>
      <c r="M601" s="160"/>
    </row>
    <row r="602" spans="2:13">
      <c r="B602" s="396"/>
      <c r="C602" s="160"/>
      <c r="D602" s="160"/>
      <c r="E602" s="160"/>
      <c r="F602" s="160"/>
      <c r="G602" s="160"/>
      <c r="H602" s="160"/>
      <c r="I602" s="160"/>
      <c r="J602" s="160"/>
      <c r="K602" s="160"/>
      <c r="L602" s="160"/>
      <c r="M602" s="160"/>
    </row>
    <row r="603" spans="2:13">
      <c r="B603" s="396"/>
      <c r="C603" s="160"/>
      <c r="D603" s="160"/>
      <c r="E603" s="160"/>
      <c r="F603" s="160"/>
      <c r="G603" s="160"/>
      <c r="H603" s="160"/>
      <c r="I603" s="160"/>
      <c r="J603" s="160"/>
      <c r="K603" s="160"/>
      <c r="L603" s="160"/>
      <c r="M603" s="160"/>
    </row>
    <row r="604" spans="2:13">
      <c r="B604" s="396"/>
      <c r="C604" s="160"/>
      <c r="D604" s="160"/>
      <c r="E604" s="160"/>
      <c r="F604" s="160"/>
      <c r="G604" s="160"/>
      <c r="H604" s="160"/>
      <c r="I604" s="160"/>
      <c r="J604" s="160"/>
      <c r="K604" s="160"/>
      <c r="L604" s="160"/>
      <c r="M604" s="160"/>
    </row>
    <row r="605" spans="2:13">
      <c r="B605" s="396"/>
      <c r="C605" s="160"/>
      <c r="D605" s="160"/>
      <c r="E605" s="160"/>
      <c r="F605" s="160"/>
      <c r="G605" s="160"/>
      <c r="H605" s="160"/>
      <c r="I605" s="160"/>
      <c r="J605" s="160"/>
      <c r="K605" s="160"/>
      <c r="L605" s="160"/>
      <c r="M605" s="160"/>
    </row>
    <row r="606" spans="2:13">
      <c r="B606" s="396"/>
      <c r="C606" s="160"/>
      <c r="D606" s="160"/>
      <c r="E606" s="160"/>
      <c r="F606" s="160"/>
      <c r="G606" s="160"/>
      <c r="H606" s="160"/>
      <c r="I606" s="160"/>
      <c r="J606" s="160"/>
      <c r="K606" s="160"/>
      <c r="L606" s="160"/>
      <c r="M606" s="160"/>
    </row>
    <row r="607" spans="2:13">
      <c r="B607" s="396"/>
      <c r="C607" s="160"/>
      <c r="D607" s="160"/>
      <c r="E607" s="160"/>
      <c r="F607" s="160"/>
      <c r="G607" s="160"/>
      <c r="H607" s="160"/>
      <c r="I607" s="160"/>
      <c r="J607" s="160"/>
      <c r="K607" s="160"/>
      <c r="L607" s="160"/>
      <c r="M607" s="160"/>
    </row>
    <row r="608" spans="2:13">
      <c r="B608" s="396"/>
      <c r="C608" s="160"/>
      <c r="D608" s="160"/>
      <c r="E608" s="160"/>
      <c r="F608" s="160"/>
      <c r="G608" s="160"/>
      <c r="H608" s="160"/>
      <c r="I608" s="160"/>
      <c r="J608" s="160"/>
      <c r="K608" s="160"/>
      <c r="L608" s="160"/>
      <c r="M608" s="160"/>
    </row>
    <row r="609" spans="2:13">
      <c r="B609" s="396"/>
      <c r="C609" s="160"/>
      <c r="D609" s="160"/>
      <c r="E609" s="160"/>
      <c r="F609" s="160"/>
      <c r="G609" s="160"/>
      <c r="H609" s="160"/>
      <c r="I609" s="160"/>
      <c r="J609" s="160"/>
      <c r="K609" s="160"/>
      <c r="L609" s="160"/>
      <c r="M609" s="160"/>
    </row>
    <row r="610" spans="2:13">
      <c r="B610" s="396"/>
      <c r="C610" s="160"/>
      <c r="D610" s="160"/>
      <c r="E610" s="160"/>
      <c r="F610" s="160"/>
      <c r="G610" s="160"/>
      <c r="H610" s="160"/>
      <c r="I610" s="160"/>
      <c r="J610" s="160"/>
      <c r="K610" s="160"/>
      <c r="L610" s="160"/>
      <c r="M610" s="160"/>
    </row>
    <row r="611" spans="2:13">
      <c r="B611" s="396"/>
      <c r="C611" s="160"/>
      <c r="D611" s="160"/>
      <c r="E611" s="160"/>
      <c r="F611" s="160"/>
      <c r="G611" s="160"/>
      <c r="H611" s="160"/>
      <c r="I611" s="160"/>
      <c r="J611" s="160"/>
      <c r="K611" s="160"/>
      <c r="L611" s="160"/>
      <c r="M611" s="160"/>
    </row>
    <row r="612" spans="2:13">
      <c r="B612" s="396"/>
      <c r="C612" s="160"/>
      <c r="D612" s="160"/>
      <c r="E612" s="160"/>
      <c r="F612" s="160"/>
      <c r="G612" s="160"/>
      <c r="H612" s="160"/>
      <c r="I612" s="160"/>
      <c r="J612" s="160"/>
      <c r="K612" s="160"/>
      <c r="L612" s="160"/>
      <c r="M612" s="160"/>
    </row>
    <row r="613" spans="2:13">
      <c r="B613" s="396"/>
      <c r="C613" s="160"/>
      <c r="D613" s="160"/>
      <c r="E613" s="160"/>
      <c r="F613" s="160"/>
      <c r="G613" s="160"/>
      <c r="H613" s="160"/>
      <c r="I613" s="160"/>
      <c r="J613" s="160"/>
      <c r="K613" s="160"/>
      <c r="L613" s="160"/>
      <c r="M613" s="160"/>
    </row>
    <row r="614" spans="2:13">
      <c r="B614" s="396"/>
      <c r="C614" s="160"/>
      <c r="D614" s="160"/>
      <c r="E614" s="160"/>
      <c r="F614" s="160"/>
      <c r="G614" s="160"/>
      <c r="H614" s="160"/>
      <c r="I614" s="160"/>
      <c r="J614" s="160"/>
      <c r="K614" s="160"/>
      <c r="L614" s="160"/>
      <c r="M614" s="160"/>
    </row>
    <row r="615" spans="2:13">
      <c r="B615" s="396"/>
      <c r="C615" s="160"/>
      <c r="D615" s="160"/>
      <c r="E615" s="160"/>
      <c r="F615" s="160"/>
      <c r="G615" s="160"/>
      <c r="H615" s="160"/>
      <c r="I615" s="160"/>
      <c r="J615" s="160"/>
      <c r="K615" s="160"/>
      <c r="L615" s="160"/>
      <c r="M615" s="160"/>
    </row>
    <row r="616" spans="2:13">
      <c r="B616" s="396"/>
      <c r="C616" s="160"/>
      <c r="D616" s="160"/>
      <c r="E616" s="160"/>
      <c r="F616" s="160"/>
      <c r="G616" s="160"/>
      <c r="H616" s="160"/>
      <c r="I616" s="160"/>
      <c r="J616" s="160"/>
      <c r="K616" s="160"/>
      <c r="L616" s="160"/>
      <c r="M616" s="160"/>
    </row>
    <row r="617" spans="2:13">
      <c r="B617" s="396"/>
      <c r="C617" s="160"/>
      <c r="D617" s="160"/>
      <c r="E617" s="160"/>
      <c r="F617" s="160"/>
      <c r="G617" s="160"/>
      <c r="H617" s="160"/>
      <c r="I617" s="160"/>
      <c r="J617" s="160"/>
      <c r="K617" s="160"/>
      <c r="L617" s="160"/>
      <c r="M617" s="160"/>
    </row>
    <row r="618" spans="2:13">
      <c r="B618" s="396"/>
      <c r="C618" s="160"/>
      <c r="D618" s="160"/>
      <c r="E618" s="160"/>
      <c r="F618" s="160"/>
      <c r="G618" s="160"/>
      <c r="H618" s="160"/>
      <c r="I618" s="160"/>
      <c r="J618" s="160"/>
      <c r="K618" s="160"/>
      <c r="L618" s="160"/>
      <c r="M618" s="160"/>
    </row>
    <row r="619" spans="2:13">
      <c r="B619" s="396"/>
      <c r="C619" s="160"/>
      <c r="D619" s="160"/>
      <c r="E619" s="160"/>
      <c r="F619" s="160"/>
      <c r="G619" s="160"/>
      <c r="H619" s="160"/>
      <c r="I619" s="160"/>
      <c r="J619" s="160"/>
      <c r="K619" s="160"/>
      <c r="L619" s="160"/>
      <c r="M619" s="160"/>
    </row>
    <row r="620" spans="2:13">
      <c r="B620" s="396"/>
      <c r="C620" s="160"/>
      <c r="D620" s="160"/>
      <c r="E620" s="160"/>
      <c r="F620" s="160"/>
      <c r="G620" s="160"/>
      <c r="H620" s="160"/>
      <c r="I620" s="160"/>
      <c r="J620" s="160"/>
      <c r="K620" s="160"/>
      <c r="L620" s="160"/>
      <c r="M620" s="160"/>
    </row>
    <row r="621" spans="2:13">
      <c r="B621" s="396"/>
      <c r="C621" s="160"/>
      <c r="D621" s="160"/>
      <c r="E621" s="160"/>
      <c r="F621" s="160"/>
      <c r="G621" s="160"/>
      <c r="H621" s="160"/>
      <c r="I621" s="160"/>
      <c r="J621" s="160"/>
      <c r="K621" s="160"/>
      <c r="L621" s="160"/>
      <c r="M621" s="160"/>
    </row>
    <row r="622" spans="2:13">
      <c r="B622" s="396"/>
      <c r="C622" s="160"/>
      <c r="D622" s="160"/>
      <c r="E622" s="160"/>
      <c r="F622" s="160"/>
      <c r="G622" s="160"/>
      <c r="H622" s="160"/>
      <c r="I622" s="160"/>
      <c r="J622" s="160"/>
      <c r="K622" s="160"/>
      <c r="L622" s="160"/>
      <c r="M622" s="160"/>
    </row>
    <row r="623" spans="2:13">
      <c r="B623" s="396"/>
      <c r="C623" s="160"/>
      <c r="D623" s="160"/>
      <c r="E623" s="160"/>
      <c r="F623" s="160"/>
      <c r="G623" s="160"/>
      <c r="H623" s="160"/>
      <c r="I623" s="160"/>
      <c r="J623" s="160"/>
      <c r="K623" s="160"/>
      <c r="L623" s="160"/>
      <c r="M623" s="160"/>
    </row>
    <row r="624" spans="2:13">
      <c r="B624" s="396"/>
      <c r="C624" s="160"/>
      <c r="D624" s="160"/>
      <c r="E624" s="160"/>
      <c r="F624" s="160"/>
      <c r="G624" s="160"/>
      <c r="H624" s="160"/>
      <c r="I624" s="160"/>
      <c r="J624" s="160"/>
      <c r="K624" s="160"/>
      <c r="L624" s="160"/>
      <c r="M624" s="160"/>
    </row>
    <row r="625" spans="2:13">
      <c r="B625" s="396"/>
      <c r="C625" s="160"/>
      <c r="D625" s="160"/>
      <c r="E625" s="160"/>
      <c r="F625" s="160"/>
      <c r="G625" s="160"/>
      <c r="H625" s="160"/>
      <c r="I625" s="160"/>
      <c r="J625" s="160"/>
      <c r="K625" s="160"/>
      <c r="L625" s="160"/>
      <c r="M625" s="160"/>
    </row>
    <row r="626" spans="2:13">
      <c r="B626" s="396"/>
      <c r="C626" s="160"/>
      <c r="D626" s="160"/>
      <c r="E626" s="160"/>
      <c r="F626" s="160"/>
      <c r="G626" s="160"/>
      <c r="H626" s="160"/>
      <c r="I626" s="160"/>
      <c r="J626" s="160"/>
      <c r="K626" s="160"/>
      <c r="L626" s="160"/>
      <c r="M626" s="160"/>
    </row>
    <row r="627" spans="2:13">
      <c r="B627" s="396"/>
      <c r="C627" s="160"/>
      <c r="D627" s="160"/>
      <c r="E627" s="160"/>
      <c r="F627" s="160"/>
      <c r="G627" s="160"/>
      <c r="H627" s="160"/>
      <c r="I627" s="160"/>
      <c r="J627" s="160"/>
      <c r="K627" s="160"/>
      <c r="L627" s="160"/>
      <c r="M627" s="160"/>
    </row>
    <row r="628" spans="2:13">
      <c r="B628" s="396"/>
      <c r="C628" s="160"/>
      <c r="D628" s="160"/>
      <c r="E628" s="160"/>
      <c r="F628" s="160"/>
      <c r="G628" s="160"/>
      <c r="H628" s="160"/>
      <c r="I628" s="160"/>
      <c r="J628" s="160"/>
      <c r="K628" s="160"/>
      <c r="L628" s="160"/>
      <c r="M628" s="160"/>
    </row>
    <row r="629" spans="2:13">
      <c r="B629" s="396"/>
      <c r="C629" s="160"/>
      <c r="D629" s="160"/>
      <c r="E629" s="160"/>
      <c r="F629" s="160"/>
      <c r="G629" s="160"/>
      <c r="H629" s="160"/>
      <c r="I629" s="160"/>
      <c r="J629" s="160"/>
      <c r="K629" s="160"/>
      <c r="L629" s="160"/>
      <c r="M629" s="160"/>
    </row>
    <row r="630" spans="2:13">
      <c r="B630" s="396"/>
      <c r="C630" s="160"/>
      <c r="D630" s="160"/>
      <c r="E630" s="160"/>
      <c r="F630" s="160"/>
      <c r="G630" s="160"/>
      <c r="H630" s="160"/>
      <c r="I630" s="160"/>
      <c r="J630" s="160"/>
      <c r="K630" s="160"/>
      <c r="L630" s="160"/>
      <c r="M630" s="160"/>
    </row>
    <row r="631" spans="2:13">
      <c r="B631" s="396"/>
      <c r="C631" s="160"/>
      <c r="D631" s="160"/>
      <c r="E631" s="160"/>
      <c r="F631" s="160"/>
      <c r="G631" s="160"/>
      <c r="H631" s="160"/>
      <c r="I631" s="160"/>
      <c r="J631" s="160"/>
      <c r="K631" s="160"/>
      <c r="L631" s="160"/>
      <c r="M631" s="160"/>
    </row>
    <row r="632" spans="2:13">
      <c r="B632" s="396"/>
      <c r="C632" s="160"/>
      <c r="D632" s="160"/>
      <c r="E632" s="160"/>
      <c r="F632" s="160"/>
      <c r="G632" s="160"/>
      <c r="H632" s="160"/>
      <c r="I632" s="160"/>
      <c r="J632" s="160"/>
      <c r="K632" s="160"/>
      <c r="L632" s="160"/>
      <c r="M632" s="160"/>
    </row>
    <row r="633" spans="2:13">
      <c r="B633" s="396"/>
      <c r="C633" s="160"/>
      <c r="D633" s="160"/>
      <c r="E633" s="160"/>
      <c r="F633" s="160"/>
      <c r="G633" s="160"/>
      <c r="H633" s="160"/>
      <c r="I633" s="160"/>
      <c r="J633" s="160"/>
      <c r="K633" s="160"/>
      <c r="L633" s="160"/>
      <c r="M633" s="160"/>
    </row>
    <row r="634" spans="2:13">
      <c r="B634" s="396"/>
      <c r="C634" s="160"/>
      <c r="D634" s="160"/>
      <c r="E634" s="160"/>
      <c r="F634" s="160"/>
      <c r="G634" s="160"/>
      <c r="H634" s="160"/>
      <c r="I634" s="160"/>
      <c r="J634" s="160"/>
      <c r="K634" s="160"/>
      <c r="L634" s="160"/>
      <c r="M634" s="160"/>
    </row>
    <row r="635" spans="2:13">
      <c r="B635" s="396"/>
      <c r="C635" s="160"/>
      <c r="D635" s="160"/>
      <c r="E635" s="160"/>
      <c r="F635" s="160"/>
      <c r="G635" s="160"/>
      <c r="H635" s="160"/>
      <c r="I635" s="160"/>
      <c r="J635" s="160"/>
      <c r="K635" s="160"/>
      <c r="L635" s="160"/>
      <c r="M635" s="160"/>
    </row>
    <row r="636" spans="2:13">
      <c r="B636" s="396"/>
      <c r="C636" s="160"/>
      <c r="D636" s="160"/>
      <c r="E636" s="160"/>
      <c r="F636" s="160"/>
      <c r="G636" s="160"/>
      <c r="H636" s="160"/>
      <c r="I636" s="160"/>
      <c r="J636" s="160"/>
      <c r="K636" s="160"/>
      <c r="L636" s="160"/>
      <c r="M636" s="160"/>
    </row>
    <row r="637" spans="2:13">
      <c r="B637" s="396"/>
      <c r="C637" s="160"/>
      <c r="D637" s="160"/>
      <c r="E637" s="160"/>
      <c r="F637" s="160"/>
      <c r="G637" s="160"/>
      <c r="H637" s="160"/>
      <c r="I637" s="160"/>
      <c r="J637" s="160"/>
      <c r="K637" s="160"/>
      <c r="L637" s="160"/>
      <c r="M637" s="160"/>
    </row>
    <row r="638" spans="2:13">
      <c r="B638" s="396"/>
      <c r="C638" s="160"/>
      <c r="D638" s="160"/>
      <c r="E638" s="160"/>
      <c r="F638" s="160"/>
      <c r="G638" s="160"/>
      <c r="H638" s="160"/>
      <c r="I638" s="160"/>
      <c r="J638" s="160"/>
      <c r="K638" s="160"/>
      <c r="L638" s="160"/>
      <c r="M638" s="160"/>
    </row>
    <row r="639" spans="2:13">
      <c r="B639" s="396"/>
      <c r="C639" s="160"/>
      <c r="D639" s="160"/>
      <c r="E639" s="160"/>
      <c r="F639" s="160"/>
      <c r="G639" s="160"/>
      <c r="H639" s="160"/>
      <c r="I639" s="160"/>
      <c r="J639" s="160"/>
      <c r="K639" s="160"/>
      <c r="L639" s="160"/>
      <c r="M639" s="160"/>
    </row>
    <row r="640" spans="2:13">
      <c r="B640" s="396"/>
      <c r="C640" s="160"/>
      <c r="D640" s="160"/>
      <c r="E640" s="160"/>
      <c r="F640" s="160"/>
      <c r="G640" s="160"/>
      <c r="H640" s="160"/>
      <c r="I640" s="160"/>
      <c r="J640" s="160"/>
      <c r="K640" s="160"/>
      <c r="L640" s="160"/>
      <c r="M640" s="160"/>
    </row>
    <row r="641" spans="2:13">
      <c r="B641" s="396"/>
      <c r="C641" s="160"/>
      <c r="D641" s="160"/>
      <c r="E641" s="160"/>
      <c r="F641" s="160"/>
      <c r="G641" s="160"/>
      <c r="H641" s="160"/>
      <c r="I641" s="160"/>
      <c r="J641" s="160"/>
      <c r="K641" s="160"/>
      <c r="L641" s="160"/>
      <c r="M641" s="160"/>
    </row>
    <row r="642" spans="2:13">
      <c r="B642" s="396"/>
      <c r="C642" s="160"/>
      <c r="D642" s="160"/>
      <c r="E642" s="160"/>
      <c r="F642" s="160"/>
      <c r="G642" s="160"/>
      <c r="H642" s="160"/>
      <c r="I642" s="160"/>
      <c r="J642" s="160"/>
      <c r="K642" s="160"/>
      <c r="L642" s="160"/>
      <c r="M642" s="160"/>
    </row>
    <row r="643" spans="2:13">
      <c r="B643" s="396"/>
      <c r="C643" s="160"/>
      <c r="D643" s="160"/>
      <c r="E643" s="160"/>
      <c r="F643" s="160"/>
      <c r="G643" s="160"/>
      <c r="H643" s="160"/>
      <c r="I643" s="160"/>
      <c r="J643" s="160"/>
      <c r="K643" s="160"/>
      <c r="L643" s="160"/>
      <c r="M643" s="160"/>
    </row>
    <row r="644" spans="2:13">
      <c r="B644" s="396"/>
      <c r="C644" s="160"/>
      <c r="D644" s="160"/>
      <c r="E644" s="160"/>
      <c r="F644" s="160"/>
      <c r="G644" s="160"/>
      <c r="H644" s="160"/>
      <c r="I644" s="160"/>
      <c r="J644" s="160"/>
      <c r="K644" s="160"/>
      <c r="L644" s="160"/>
      <c r="M644" s="160"/>
    </row>
    <row r="645" spans="2:13">
      <c r="B645" s="396"/>
      <c r="C645" s="160"/>
      <c r="D645" s="160"/>
      <c r="E645" s="160"/>
      <c r="F645" s="160"/>
      <c r="G645" s="160"/>
      <c r="H645" s="160"/>
      <c r="I645" s="160"/>
      <c r="J645" s="160"/>
      <c r="K645" s="160"/>
      <c r="L645" s="160"/>
      <c r="M645" s="160"/>
    </row>
    <row r="646" spans="2:13">
      <c r="B646" s="396"/>
      <c r="C646" s="160"/>
      <c r="D646" s="160"/>
      <c r="E646" s="160"/>
      <c r="F646" s="160"/>
      <c r="G646" s="160"/>
      <c r="H646" s="160"/>
      <c r="I646" s="160"/>
      <c r="J646" s="160"/>
      <c r="K646" s="160"/>
      <c r="L646" s="160"/>
      <c r="M646" s="160"/>
    </row>
    <row r="647" spans="2:13">
      <c r="B647" s="396"/>
      <c r="C647" s="160"/>
      <c r="D647" s="160"/>
      <c r="E647" s="160"/>
      <c r="F647" s="160"/>
      <c r="G647" s="160"/>
      <c r="H647" s="160"/>
      <c r="I647" s="160"/>
      <c r="J647" s="160"/>
      <c r="K647" s="160"/>
      <c r="L647" s="160"/>
      <c r="M647" s="160"/>
    </row>
    <row r="648" spans="2:13">
      <c r="B648" s="396"/>
      <c r="C648" s="160"/>
      <c r="D648" s="160"/>
      <c r="E648" s="160"/>
      <c r="F648" s="160"/>
      <c r="G648" s="160"/>
      <c r="H648" s="160"/>
      <c r="I648" s="160"/>
      <c r="J648" s="160"/>
      <c r="K648" s="160"/>
      <c r="L648" s="160"/>
      <c r="M648" s="160"/>
    </row>
    <row r="649" spans="2:13">
      <c r="B649" s="396"/>
      <c r="C649" s="160"/>
      <c r="D649" s="160"/>
      <c r="E649" s="160"/>
      <c r="F649" s="160"/>
      <c r="G649" s="160"/>
      <c r="H649" s="160"/>
      <c r="I649" s="160"/>
      <c r="J649" s="160"/>
      <c r="K649" s="160"/>
      <c r="L649" s="160"/>
      <c r="M649" s="160"/>
    </row>
    <row r="650" spans="2:13">
      <c r="B650" s="396"/>
      <c r="C650" s="160"/>
      <c r="D650" s="160"/>
      <c r="E650" s="160"/>
      <c r="F650" s="160"/>
      <c r="G650" s="160"/>
      <c r="H650" s="160"/>
      <c r="I650" s="160"/>
      <c r="J650" s="160"/>
      <c r="K650" s="160"/>
      <c r="L650" s="160"/>
      <c r="M650" s="160"/>
    </row>
    <row r="651" spans="2:13">
      <c r="B651" s="396"/>
      <c r="C651" s="160"/>
      <c r="D651" s="160"/>
      <c r="E651" s="160"/>
      <c r="F651" s="160"/>
      <c r="G651" s="160"/>
      <c r="H651" s="160"/>
      <c r="I651" s="160"/>
      <c r="J651" s="160"/>
      <c r="K651" s="160"/>
      <c r="L651" s="160"/>
      <c r="M651" s="160"/>
    </row>
    <row r="652" spans="2:13">
      <c r="B652" s="396"/>
      <c r="C652" s="160"/>
      <c r="D652" s="160"/>
      <c r="E652" s="160"/>
      <c r="F652" s="160"/>
      <c r="G652" s="160"/>
      <c r="H652" s="160"/>
      <c r="I652" s="160"/>
      <c r="J652" s="160"/>
      <c r="K652" s="160"/>
      <c r="L652" s="160"/>
      <c r="M652" s="160"/>
    </row>
    <row r="653" spans="2:13">
      <c r="B653" s="396"/>
      <c r="C653" s="160"/>
      <c r="D653" s="160"/>
      <c r="E653" s="160"/>
      <c r="F653" s="160"/>
      <c r="G653" s="160"/>
      <c r="H653" s="160"/>
      <c r="I653" s="160"/>
      <c r="J653" s="160"/>
      <c r="K653" s="160"/>
      <c r="L653" s="160"/>
      <c r="M653" s="160"/>
    </row>
    <row r="654" spans="2:13">
      <c r="B654" s="396"/>
      <c r="C654" s="160"/>
      <c r="D654" s="160"/>
      <c r="E654" s="160"/>
      <c r="F654" s="160"/>
      <c r="G654" s="160"/>
      <c r="H654" s="160"/>
      <c r="I654" s="160"/>
      <c r="J654" s="160"/>
      <c r="K654" s="160"/>
      <c r="L654" s="160"/>
      <c r="M654" s="160"/>
    </row>
    <row r="655" spans="2:13">
      <c r="B655" s="396"/>
      <c r="C655" s="160"/>
      <c r="D655" s="160"/>
      <c r="E655" s="160"/>
      <c r="F655" s="160"/>
      <c r="G655" s="160"/>
      <c r="H655" s="160"/>
      <c r="I655" s="160"/>
      <c r="J655" s="160"/>
      <c r="K655" s="160"/>
      <c r="L655" s="160"/>
      <c r="M655" s="160"/>
    </row>
    <row r="656" spans="2:13">
      <c r="B656" s="396"/>
      <c r="C656" s="160"/>
      <c r="D656" s="160"/>
      <c r="E656" s="160"/>
      <c r="F656" s="160"/>
      <c r="G656" s="160"/>
      <c r="H656" s="160"/>
      <c r="I656" s="160"/>
      <c r="J656" s="160"/>
      <c r="K656" s="160"/>
      <c r="L656" s="160"/>
      <c r="M656" s="160"/>
    </row>
    <row r="657" spans="2:13">
      <c r="B657" s="396"/>
      <c r="C657" s="160"/>
      <c r="D657" s="160"/>
      <c r="E657" s="160"/>
      <c r="F657" s="160"/>
      <c r="G657" s="160"/>
      <c r="H657" s="160"/>
      <c r="I657" s="160"/>
      <c r="J657" s="160"/>
      <c r="K657" s="160"/>
      <c r="L657" s="160"/>
      <c r="M657" s="160"/>
    </row>
    <row r="658" spans="2:13">
      <c r="B658" s="396"/>
      <c r="C658" s="160"/>
      <c r="D658" s="160"/>
      <c r="E658" s="160"/>
      <c r="F658" s="160"/>
      <c r="G658" s="160"/>
      <c r="H658" s="160"/>
      <c r="I658" s="160"/>
      <c r="J658" s="160"/>
      <c r="K658" s="160"/>
      <c r="L658" s="160"/>
      <c r="M658" s="160"/>
    </row>
    <row r="659" spans="2:13">
      <c r="B659" s="396"/>
      <c r="C659" s="160"/>
      <c r="D659" s="160"/>
      <c r="E659" s="160"/>
      <c r="F659" s="160"/>
      <c r="G659" s="160"/>
      <c r="H659" s="160"/>
      <c r="I659" s="160"/>
      <c r="J659" s="160"/>
      <c r="K659" s="160"/>
      <c r="L659" s="160"/>
      <c r="M659" s="160"/>
    </row>
    <row r="660" spans="2:13">
      <c r="B660" s="396"/>
      <c r="C660" s="160"/>
      <c r="D660" s="160"/>
      <c r="E660" s="160"/>
      <c r="F660" s="160"/>
      <c r="G660" s="160"/>
      <c r="H660" s="160"/>
      <c r="I660" s="160"/>
      <c r="J660" s="160"/>
      <c r="K660" s="160"/>
      <c r="L660" s="160"/>
      <c r="M660" s="160"/>
    </row>
    <row r="661" spans="2:13">
      <c r="B661" s="396"/>
      <c r="C661" s="160"/>
      <c r="D661" s="160"/>
      <c r="E661" s="160"/>
      <c r="F661" s="160"/>
      <c r="G661" s="160"/>
      <c r="H661" s="160"/>
      <c r="I661" s="160"/>
      <c r="J661" s="160"/>
      <c r="K661" s="160"/>
      <c r="L661" s="160"/>
      <c r="M661" s="160"/>
    </row>
    <row r="662" spans="2:13">
      <c r="B662" s="396"/>
      <c r="C662" s="160"/>
      <c r="D662" s="160"/>
      <c r="E662" s="160"/>
      <c r="F662" s="160"/>
      <c r="G662" s="160"/>
      <c r="H662" s="160"/>
      <c r="I662" s="160"/>
      <c r="J662" s="160"/>
      <c r="K662" s="160"/>
      <c r="L662" s="160"/>
      <c r="M662" s="160"/>
    </row>
    <row r="663" spans="2:13">
      <c r="B663" s="396"/>
      <c r="C663" s="160"/>
      <c r="D663" s="160"/>
      <c r="E663" s="160"/>
      <c r="F663" s="160"/>
      <c r="G663" s="160"/>
      <c r="H663" s="160"/>
      <c r="I663" s="160"/>
      <c r="J663" s="160"/>
      <c r="K663" s="160"/>
      <c r="L663" s="160"/>
      <c r="M663" s="160"/>
    </row>
    <row r="664" spans="2:13">
      <c r="B664" s="396"/>
      <c r="C664" s="160"/>
      <c r="D664" s="160"/>
      <c r="E664" s="160"/>
      <c r="F664" s="160"/>
      <c r="G664" s="160"/>
      <c r="H664" s="160"/>
      <c r="I664" s="160"/>
      <c r="J664" s="160"/>
      <c r="K664" s="160"/>
      <c r="L664" s="160"/>
      <c r="M664" s="160"/>
    </row>
    <row r="665" spans="2:13">
      <c r="B665" s="396"/>
      <c r="C665" s="160"/>
      <c r="D665" s="160"/>
      <c r="E665" s="160"/>
      <c r="F665" s="160"/>
      <c r="G665" s="160"/>
      <c r="H665" s="160"/>
      <c r="I665" s="160"/>
      <c r="J665" s="160"/>
      <c r="K665" s="160"/>
      <c r="L665" s="160"/>
      <c r="M665" s="160"/>
    </row>
    <row r="666" spans="2:13">
      <c r="B666" s="396"/>
      <c r="C666" s="160"/>
      <c r="D666" s="160"/>
      <c r="E666" s="160"/>
      <c r="F666" s="160"/>
      <c r="G666" s="160"/>
      <c r="H666" s="160"/>
      <c r="I666" s="160"/>
      <c r="J666" s="160"/>
      <c r="K666" s="160"/>
      <c r="L666" s="160"/>
      <c r="M666" s="160"/>
    </row>
    <row r="667" spans="2:13">
      <c r="B667" s="396"/>
      <c r="C667" s="160"/>
      <c r="D667" s="160"/>
      <c r="E667" s="160"/>
      <c r="F667" s="160"/>
      <c r="G667" s="160"/>
      <c r="H667" s="160"/>
      <c r="I667" s="160"/>
      <c r="J667" s="160"/>
      <c r="K667" s="160"/>
      <c r="L667" s="160"/>
      <c r="M667" s="160"/>
    </row>
    <row r="668" spans="2:13">
      <c r="B668" s="396"/>
      <c r="C668" s="160"/>
      <c r="D668" s="160"/>
      <c r="E668" s="160"/>
      <c r="F668" s="160"/>
      <c r="G668" s="160"/>
      <c r="H668" s="160"/>
      <c r="I668" s="160"/>
      <c r="J668" s="160"/>
      <c r="K668" s="160"/>
      <c r="L668" s="160"/>
      <c r="M668" s="160"/>
    </row>
    <row r="669" spans="2:13">
      <c r="B669" s="396"/>
      <c r="C669" s="160"/>
      <c r="D669" s="160"/>
      <c r="E669" s="160"/>
      <c r="F669" s="160"/>
      <c r="G669" s="160"/>
      <c r="H669" s="160"/>
      <c r="I669" s="160"/>
      <c r="J669" s="160"/>
      <c r="K669" s="160"/>
      <c r="L669" s="160"/>
      <c r="M669" s="160"/>
    </row>
    <row r="670" spans="2:13">
      <c r="B670" s="396"/>
      <c r="C670" s="160"/>
      <c r="D670" s="160"/>
      <c r="E670" s="160"/>
      <c r="F670" s="160"/>
      <c r="G670" s="160"/>
      <c r="H670" s="160"/>
      <c r="I670" s="160"/>
      <c r="J670" s="160"/>
      <c r="K670" s="160"/>
      <c r="L670" s="160"/>
      <c r="M670" s="160"/>
    </row>
    <row r="671" spans="2:13">
      <c r="B671" s="396"/>
      <c r="C671" s="160"/>
      <c r="D671" s="160"/>
      <c r="E671" s="160"/>
      <c r="F671" s="160"/>
      <c r="G671" s="160"/>
      <c r="H671" s="160"/>
      <c r="I671" s="160"/>
      <c r="J671" s="160"/>
      <c r="K671" s="160"/>
      <c r="L671" s="160"/>
      <c r="M671" s="160"/>
    </row>
    <row r="672" spans="2:13">
      <c r="B672" s="396"/>
      <c r="C672" s="160"/>
      <c r="D672" s="160"/>
      <c r="E672" s="160"/>
      <c r="F672" s="160"/>
      <c r="G672" s="160"/>
      <c r="H672" s="160"/>
      <c r="I672" s="160"/>
      <c r="J672" s="160"/>
      <c r="K672" s="160"/>
      <c r="L672" s="160"/>
      <c r="M672" s="160"/>
    </row>
    <row r="673" spans="2:13">
      <c r="B673" s="396"/>
      <c r="C673" s="160"/>
      <c r="D673" s="160"/>
      <c r="E673" s="160"/>
      <c r="F673" s="160"/>
      <c r="G673" s="160"/>
      <c r="H673" s="160"/>
      <c r="I673" s="160"/>
      <c r="J673" s="160"/>
      <c r="K673" s="160"/>
      <c r="L673" s="160"/>
      <c r="M673" s="160"/>
    </row>
    <row r="674" spans="2:13">
      <c r="B674" s="396"/>
      <c r="C674" s="160"/>
      <c r="D674" s="160"/>
      <c r="E674" s="160"/>
      <c r="F674" s="160"/>
      <c r="G674" s="160"/>
      <c r="H674" s="160"/>
      <c r="I674" s="160"/>
      <c r="J674" s="160"/>
      <c r="K674" s="160"/>
      <c r="L674" s="160"/>
      <c r="M674" s="160"/>
    </row>
    <row r="675" spans="2:13">
      <c r="B675" s="396"/>
      <c r="C675" s="160"/>
      <c r="D675" s="160"/>
      <c r="E675" s="160"/>
      <c r="F675" s="160"/>
      <c r="G675" s="160"/>
      <c r="H675" s="160"/>
      <c r="I675" s="160"/>
      <c r="J675" s="160"/>
      <c r="K675" s="160"/>
      <c r="L675" s="160"/>
      <c r="M675" s="160"/>
    </row>
    <row r="676" spans="2:13">
      <c r="B676" s="396"/>
      <c r="C676" s="160"/>
      <c r="D676" s="160"/>
      <c r="E676" s="160"/>
      <c r="F676" s="160"/>
      <c r="G676" s="160"/>
      <c r="H676" s="160"/>
      <c r="I676" s="160"/>
      <c r="J676" s="160"/>
      <c r="K676" s="160"/>
      <c r="L676" s="160"/>
      <c r="M676" s="160"/>
    </row>
    <row r="677" spans="2:13">
      <c r="B677" s="396"/>
      <c r="C677" s="160"/>
      <c r="D677" s="160"/>
      <c r="E677" s="160"/>
      <c r="F677" s="160"/>
      <c r="G677" s="160"/>
      <c r="H677" s="160"/>
      <c r="I677" s="160"/>
      <c r="J677" s="160"/>
      <c r="K677" s="160"/>
      <c r="L677" s="160"/>
      <c r="M677" s="160"/>
    </row>
    <row r="678" spans="2:13">
      <c r="B678" s="396"/>
      <c r="C678" s="160"/>
      <c r="D678" s="160"/>
      <c r="E678" s="160"/>
      <c r="F678" s="160"/>
      <c r="G678" s="160"/>
      <c r="H678" s="160"/>
      <c r="I678" s="160"/>
      <c r="J678" s="160"/>
      <c r="K678" s="160"/>
      <c r="L678" s="160"/>
      <c r="M678" s="160"/>
    </row>
    <row r="679" spans="2:13">
      <c r="B679" s="396"/>
      <c r="C679" s="160"/>
      <c r="D679" s="160"/>
      <c r="E679" s="160"/>
      <c r="F679" s="160"/>
      <c r="G679" s="160"/>
      <c r="H679" s="160"/>
      <c r="I679" s="160"/>
      <c r="J679" s="160"/>
      <c r="K679" s="160"/>
      <c r="L679" s="160"/>
      <c r="M679" s="160"/>
    </row>
    <row r="680" spans="2:13">
      <c r="B680" s="396"/>
      <c r="C680" s="160"/>
      <c r="D680" s="160"/>
      <c r="E680" s="160"/>
      <c r="F680" s="160"/>
      <c r="G680" s="160"/>
      <c r="H680" s="160"/>
      <c r="I680" s="160"/>
      <c r="J680" s="160"/>
      <c r="K680" s="160"/>
      <c r="L680" s="160"/>
      <c r="M680" s="160"/>
    </row>
    <row r="681" spans="2:13">
      <c r="B681" s="396"/>
      <c r="C681" s="160"/>
      <c r="D681" s="160"/>
      <c r="E681" s="160"/>
      <c r="F681" s="160"/>
      <c r="G681" s="160"/>
      <c r="H681" s="160"/>
      <c r="I681" s="160"/>
      <c r="J681" s="160"/>
      <c r="K681" s="160"/>
      <c r="L681" s="160"/>
      <c r="M681" s="160"/>
    </row>
    <row r="682" spans="2:13">
      <c r="B682" s="396"/>
      <c r="C682" s="160"/>
      <c r="D682" s="160"/>
      <c r="E682" s="160"/>
      <c r="F682" s="160"/>
      <c r="G682" s="160"/>
      <c r="H682" s="160"/>
      <c r="I682" s="160"/>
      <c r="J682" s="160"/>
      <c r="K682" s="160"/>
      <c r="L682" s="160"/>
      <c r="M682" s="160"/>
    </row>
    <row r="683" spans="2:13">
      <c r="B683" s="396"/>
      <c r="C683" s="160"/>
      <c r="D683" s="160"/>
      <c r="E683" s="160"/>
      <c r="F683" s="160"/>
      <c r="G683" s="160"/>
      <c r="H683" s="160"/>
      <c r="I683" s="160"/>
      <c r="J683" s="160"/>
      <c r="K683" s="160"/>
      <c r="L683" s="160"/>
      <c r="M683" s="160"/>
    </row>
    <row r="684" spans="2:13">
      <c r="B684" s="396"/>
      <c r="C684" s="160"/>
      <c r="D684" s="160"/>
      <c r="E684" s="160"/>
      <c r="F684" s="160"/>
      <c r="G684" s="160"/>
      <c r="H684" s="160"/>
      <c r="I684" s="160"/>
      <c r="J684" s="160"/>
      <c r="K684" s="160"/>
      <c r="L684" s="160"/>
      <c r="M684" s="160"/>
    </row>
    <row r="685" spans="2:13">
      <c r="B685" s="396"/>
      <c r="C685" s="160"/>
      <c r="D685" s="160"/>
      <c r="E685" s="160"/>
      <c r="F685" s="160"/>
      <c r="G685" s="160"/>
      <c r="H685" s="160"/>
      <c r="I685" s="160"/>
      <c r="J685" s="160"/>
      <c r="K685" s="160"/>
      <c r="L685" s="160"/>
      <c r="M685" s="160"/>
    </row>
    <row r="686" spans="2:13">
      <c r="B686" s="396"/>
      <c r="C686" s="160"/>
      <c r="D686" s="160"/>
      <c r="E686" s="160"/>
      <c r="F686" s="160"/>
      <c r="G686" s="160"/>
      <c r="H686" s="160"/>
      <c r="I686" s="160"/>
      <c r="J686" s="160"/>
      <c r="K686" s="160"/>
      <c r="L686" s="160"/>
      <c r="M686" s="160"/>
    </row>
    <row r="687" spans="2:13">
      <c r="B687" s="396"/>
      <c r="C687" s="160"/>
      <c r="D687" s="160"/>
      <c r="E687" s="160"/>
      <c r="F687" s="160"/>
      <c r="G687" s="160"/>
      <c r="H687" s="160"/>
      <c r="I687" s="160"/>
      <c r="J687" s="160"/>
      <c r="K687" s="160"/>
      <c r="L687" s="160"/>
      <c r="M687" s="160"/>
    </row>
    <row r="688" spans="2:13">
      <c r="B688" s="396"/>
      <c r="C688" s="160"/>
      <c r="D688" s="160"/>
      <c r="E688" s="160"/>
      <c r="F688" s="160"/>
      <c r="G688" s="160"/>
      <c r="H688" s="160"/>
      <c r="I688" s="160"/>
      <c r="J688" s="160"/>
      <c r="K688" s="160"/>
      <c r="L688" s="160"/>
      <c r="M688" s="160"/>
    </row>
    <row r="689" spans="2:13">
      <c r="B689" s="396"/>
      <c r="C689" s="160"/>
      <c r="D689" s="160"/>
      <c r="E689" s="160"/>
      <c r="F689" s="160"/>
      <c r="G689" s="160"/>
      <c r="H689" s="160"/>
      <c r="I689" s="160"/>
      <c r="J689" s="160"/>
      <c r="K689" s="160"/>
      <c r="L689" s="160"/>
      <c r="M689" s="160"/>
    </row>
    <row r="690" spans="2:13">
      <c r="B690" s="396"/>
      <c r="C690" s="160"/>
      <c r="D690" s="160"/>
      <c r="E690" s="160"/>
      <c r="F690" s="160"/>
      <c r="G690" s="160"/>
      <c r="H690" s="160"/>
      <c r="I690" s="160"/>
      <c r="J690" s="160"/>
      <c r="K690" s="160"/>
      <c r="L690" s="160"/>
      <c r="M690" s="160"/>
    </row>
    <row r="691" spans="2:13">
      <c r="B691" s="396"/>
      <c r="C691" s="160"/>
      <c r="D691" s="160"/>
      <c r="E691" s="160"/>
      <c r="F691" s="160"/>
      <c r="G691" s="160"/>
      <c r="H691" s="160"/>
      <c r="I691" s="160"/>
      <c r="J691" s="160"/>
      <c r="K691" s="160"/>
      <c r="L691" s="160"/>
      <c r="M691" s="160"/>
    </row>
    <row r="692" spans="2:13">
      <c r="B692" s="396"/>
      <c r="C692" s="160"/>
      <c r="D692" s="160"/>
      <c r="E692" s="160"/>
      <c r="F692" s="160"/>
      <c r="G692" s="160"/>
      <c r="H692" s="160"/>
      <c r="I692" s="160"/>
      <c r="J692" s="160"/>
      <c r="K692" s="160"/>
      <c r="L692" s="160"/>
      <c r="M692" s="160"/>
    </row>
    <row r="693" spans="2:13">
      <c r="B693" s="396"/>
      <c r="C693" s="160"/>
      <c r="D693" s="160"/>
      <c r="E693" s="160"/>
      <c r="F693" s="160"/>
      <c r="G693" s="160"/>
      <c r="H693" s="160"/>
      <c r="I693" s="160"/>
      <c r="J693" s="160"/>
      <c r="K693" s="160"/>
      <c r="L693" s="160"/>
      <c r="M693" s="160"/>
    </row>
    <row r="694" spans="2:13">
      <c r="B694" s="396"/>
      <c r="C694" s="160"/>
      <c r="D694" s="160"/>
      <c r="E694" s="160"/>
      <c r="F694" s="160"/>
      <c r="G694" s="160"/>
      <c r="H694" s="160"/>
      <c r="I694" s="160"/>
      <c r="J694" s="160"/>
      <c r="K694" s="160"/>
      <c r="L694" s="160"/>
      <c r="M694" s="160"/>
    </row>
    <row r="695" spans="2:13">
      <c r="B695" s="396"/>
      <c r="C695" s="160"/>
      <c r="D695" s="160"/>
      <c r="E695" s="160"/>
      <c r="F695" s="160"/>
      <c r="G695" s="160"/>
      <c r="H695" s="160"/>
      <c r="I695" s="160"/>
      <c r="J695" s="160"/>
      <c r="K695" s="160"/>
      <c r="L695" s="160"/>
      <c r="M695" s="160"/>
    </row>
    <row r="696" spans="2:13">
      <c r="B696" s="396"/>
      <c r="C696" s="160"/>
      <c r="D696" s="160"/>
      <c r="E696" s="160"/>
      <c r="F696" s="160"/>
      <c r="G696" s="160"/>
      <c r="H696" s="160"/>
      <c r="I696" s="160"/>
      <c r="J696" s="160"/>
      <c r="K696" s="160"/>
      <c r="L696" s="160"/>
      <c r="M696" s="160"/>
    </row>
    <row r="697" spans="2:13">
      <c r="B697" s="396"/>
      <c r="C697" s="160"/>
      <c r="D697" s="160"/>
      <c r="E697" s="160"/>
      <c r="F697" s="160"/>
      <c r="G697" s="160"/>
      <c r="H697" s="160"/>
      <c r="I697" s="160"/>
      <c r="J697" s="160"/>
      <c r="K697" s="160"/>
      <c r="L697" s="160"/>
      <c r="M697" s="160"/>
    </row>
    <row r="698" spans="2:13">
      <c r="B698" s="396"/>
      <c r="C698" s="160"/>
      <c r="D698" s="160"/>
      <c r="E698" s="160"/>
      <c r="F698" s="160"/>
      <c r="G698" s="160"/>
      <c r="H698" s="160"/>
      <c r="I698" s="160"/>
      <c r="J698" s="160"/>
      <c r="K698" s="160"/>
      <c r="L698" s="160"/>
      <c r="M698" s="160"/>
    </row>
    <row r="699" spans="2:13">
      <c r="B699" s="396"/>
      <c r="C699" s="160"/>
      <c r="D699" s="160"/>
      <c r="E699" s="160"/>
      <c r="F699" s="160"/>
      <c r="G699" s="160"/>
      <c r="H699" s="160"/>
      <c r="I699" s="160"/>
      <c r="J699" s="160"/>
      <c r="K699" s="160"/>
      <c r="L699" s="160"/>
      <c r="M699" s="160"/>
    </row>
    <row r="700" spans="2:13">
      <c r="B700" s="396"/>
      <c r="C700" s="160"/>
      <c r="D700" s="160"/>
      <c r="E700" s="160"/>
      <c r="F700" s="160"/>
      <c r="G700" s="160"/>
      <c r="H700" s="160"/>
      <c r="I700" s="160"/>
      <c r="J700" s="160"/>
      <c r="K700" s="160"/>
      <c r="L700" s="160"/>
      <c r="M700" s="160"/>
    </row>
    <row r="701" spans="2:13">
      <c r="B701" s="396"/>
      <c r="C701" s="160"/>
      <c r="D701" s="160"/>
      <c r="E701" s="160"/>
      <c r="F701" s="160"/>
      <c r="G701" s="160"/>
      <c r="H701" s="160"/>
      <c r="I701" s="160"/>
      <c r="J701" s="160"/>
      <c r="K701" s="160"/>
      <c r="L701" s="160"/>
      <c r="M701" s="160"/>
    </row>
    <row r="702" spans="2:13">
      <c r="B702" s="396"/>
      <c r="C702" s="160"/>
      <c r="D702" s="160"/>
      <c r="E702" s="160"/>
      <c r="F702" s="160"/>
      <c r="G702" s="160"/>
      <c r="H702" s="160"/>
      <c r="I702" s="160"/>
      <c r="J702" s="160"/>
      <c r="K702" s="160"/>
      <c r="L702" s="160"/>
      <c r="M702" s="160"/>
    </row>
    <row r="703" spans="2:13">
      <c r="B703" s="396"/>
      <c r="C703" s="160"/>
      <c r="D703" s="160"/>
      <c r="E703" s="160"/>
      <c r="F703" s="160"/>
      <c r="G703" s="160"/>
      <c r="H703" s="160"/>
      <c r="I703" s="160"/>
      <c r="J703" s="160"/>
      <c r="K703" s="160"/>
      <c r="L703" s="160"/>
      <c r="M703" s="160"/>
    </row>
    <row r="704" spans="2:13">
      <c r="B704" s="396"/>
      <c r="C704" s="160"/>
      <c r="D704" s="160"/>
      <c r="E704" s="160"/>
      <c r="F704" s="160"/>
      <c r="G704" s="160"/>
      <c r="H704" s="160"/>
      <c r="I704" s="160"/>
      <c r="J704" s="160"/>
      <c r="K704" s="160"/>
      <c r="L704" s="160"/>
      <c r="M704" s="160"/>
    </row>
    <row r="705" spans="2:13">
      <c r="B705" s="396"/>
      <c r="C705" s="160"/>
      <c r="D705" s="160"/>
      <c r="E705" s="160"/>
      <c r="F705" s="160"/>
      <c r="G705" s="160"/>
      <c r="H705" s="160"/>
      <c r="I705" s="160"/>
      <c r="J705" s="160"/>
      <c r="K705" s="160"/>
      <c r="L705" s="160"/>
      <c r="M705" s="160"/>
    </row>
    <row r="706" spans="2:13">
      <c r="B706" s="396"/>
      <c r="C706" s="160"/>
      <c r="D706" s="160"/>
      <c r="E706" s="160"/>
      <c r="F706" s="160"/>
      <c r="G706" s="160"/>
      <c r="H706" s="160"/>
      <c r="I706" s="160"/>
      <c r="J706" s="160"/>
      <c r="K706" s="160"/>
      <c r="L706" s="160"/>
      <c r="M706" s="160"/>
    </row>
    <row r="707" spans="2:13">
      <c r="B707" s="396"/>
      <c r="C707" s="160"/>
      <c r="D707" s="160"/>
      <c r="E707" s="160"/>
      <c r="F707" s="160"/>
      <c r="G707" s="160"/>
      <c r="H707" s="160"/>
      <c r="I707" s="160"/>
      <c r="J707" s="160"/>
      <c r="K707" s="160"/>
      <c r="L707" s="160"/>
      <c r="M707" s="160"/>
    </row>
    <row r="708" spans="2:13">
      <c r="B708" s="396"/>
      <c r="C708" s="160"/>
      <c r="D708" s="160"/>
      <c r="E708" s="160"/>
      <c r="F708" s="160"/>
      <c r="G708" s="160"/>
      <c r="H708" s="160"/>
      <c r="I708" s="160"/>
      <c r="J708" s="160"/>
      <c r="K708" s="160"/>
      <c r="L708" s="160"/>
      <c r="M708" s="160"/>
    </row>
    <row r="709" spans="2:13">
      <c r="B709" s="396"/>
      <c r="C709" s="160"/>
      <c r="D709" s="160"/>
      <c r="E709" s="160"/>
      <c r="F709" s="160"/>
      <c r="G709" s="160"/>
      <c r="H709" s="160"/>
      <c r="I709" s="160"/>
      <c r="J709" s="160"/>
      <c r="K709" s="160"/>
      <c r="L709" s="160"/>
      <c r="M709" s="160"/>
    </row>
    <row r="710" spans="2:13">
      <c r="B710" s="396"/>
      <c r="C710" s="160"/>
      <c r="D710" s="160"/>
      <c r="E710" s="160"/>
      <c r="F710" s="160"/>
      <c r="G710" s="160"/>
      <c r="H710" s="160"/>
      <c r="I710" s="160"/>
      <c r="J710" s="160"/>
      <c r="K710" s="160"/>
      <c r="L710" s="160"/>
      <c r="M710" s="160"/>
    </row>
    <row r="711" spans="2:13">
      <c r="B711" s="396"/>
      <c r="C711" s="160"/>
      <c r="D711" s="160"/>
      <c r="E711" s="160"/>
      <c r="F711" s="160"/>
      <c r="G711" s="160"/>
      <c r="H711" s="160"/>
      <c r="I711" s="160"/>
      <c r="J711" s="160"/>
      <c r="K711" s="160"/>
      <c r="L711" s="160"/>
      <c r="M711" s="160"/>
    </row>
    <row r="712" spans="2:13">
      <c r="B712" s="396"/>
      <c r="C712" s="160"/>
      <c r="D712" s="160"/>
      <c r="E712" s="160"/>
      <c r="F712" s="160"/>
      <c r="G712" s="160"/>
      <c r="H712" s="160"/>
      <c r="I712" s="160"/>
      <c r="J712" s="160"/>
      <c r="K712" s="160"/>
      <c r="L712" s="160"/>
      <c r="M712" s="160"/>
    </row>
    <row r="713" spans="2:13">
      <c r="B713" s="396"/>
      <c r="C713" s="160"/>
      <c r="D713" s="160"/>
      <c r="E713" s="160"/>
      <c r="F713" s="160"/>
      <c r="G713" s="160"/>
      <c r="H713" s="160"/>
      <c r="I713" s="160"/>
      <c r="J713" s="160"/>
      <c r="K713" s="160"/>
      <c r="L713" s="160"/>
      <c r="M713" s="160"/>
    </row>
    <row r="714" spans="2:13">
      <c r="B714" s="396"/>
      <c r="C714" s="160"/>
      <c r="D714" s="160"/>
      <c r="E714" s="160"/>
      <c r="F714" s="160"/>
      <c r="G714" s="160"/>
      <c r="H714" s="160"/>
      <c r="I714" s="160"/>
      <c r="J714" s="160"/>
      <c r="K714" s="160"/>
      <c r="L714" s="160"/>
      <c r="M714" s="160"/>
    </row>
    <row r="715" spans="2:13">
      <c r="B715" s="396"/>
      <c r="C715" s="160"/>
      <c r="D715" s="160"/>
      <c r="E715" s="160"/>
      <c r="F715" s="160"/>
      <c r="G715" s="160"/>
      <c r="H715" s="160"/>
      <c r="I715" s="160"/>
      <c r="J715" s="160"/>
      <c r="K715" s="160"/>
      <c r="L715" s="160"/>
      <c r="M715" s="160"/>
    </row>
    <row r="716" spans="2:13">
      <c r="B716" s="396"/>
      <c r="C716" s="160"/>
      <c r="D716" s="160"/>
      <c r="E716" s="160"/>
      <c r="F716" s="160"/>
      <c r="G716" s="160"/>
      <c r="H716" s="160"/>
      <c r="I716" s="160"/>
      <c r="J716" s="160"/>
      <c r="K716" s="160"/>
      <c r="L716" s="160"/>
      <c r="M716" s="160"/>
    </row>
    <row r="717" spans="2:13">
      <c r="B717" s="396"/>
      <c r="C717" s="160"/>
      <c r="D717" s="160"/>
      <c r="E717" s="160"/>
      <c r="F717" s="160"/>
      <c r="G717" s="160"/>
      <c r="H717" s="160"/>
      <c r="I717" s="160"/>
      <c r="J717" s="160"/>
      <c r="K717" s="160"/>
      <c r="L717" s="160"/>
      <c r="M717" s="160"/>
    </row>
    <row r="718" spans="2:13">
      <c r="B718" s="396"/>
      <c r="C718" s="160"/>
      <c r="D718" s="160"/>
      <c r="E718" s="160"/>
      <c r="F718" s="160"/>
      <c r="G718" s="160"/>
      <c r="H718" s="160"/>
      <c r="I718" s="160"/>
      <c r="J718" s="160"/>
      <c r="K718" s="160"/>
      <c r="L718" s="160"/>
      <c r="M718" s="160"/>
    </row>
    <row r="719" spans="2:13">
      <c r="B719" s="396"/>
      <c r="C719" s="160"/>
      <c r="D719" s="160"/>
      <c r="E719" s="160"/>
      <c r="F719" s="160"/>
      <c r="G719" s="160"/>
      <c r="H719" s="160"/>
      <c r="I719" s="160"/>
      <c r="J719" s="160"/>
      <c r="K719" s="160"/>
      <c r="L719" s="160"/>
      <c r="M719" s="160"/>
    </row>
    <row r="720" spans="2:13">
      <c r="B720" s="396"/>
      <c r="C720" s="160"/>
      <c r="D720" s="160"/>
      <c r="E720" s="160"/>
      <c r="F720" s="160"/>
      <c r="G720" s="160"/>
      <c r="H720" s="160"/>
      <c r="I720" s="160"/>
      <c r="J720" s="160"/>
      <c r="K720" s="160"/>
      <c r="L720" s="160"/>
      <c r="M720" s="160"/>
    </row>
    <row r="721" spans="2:13">
      <c r="B721" s="396"/>
      <c r="C721" s="160"/>
      <c r="D721" s="160"/>
      <c r="E721" s="160"/>
      <c r="F721" s="160"/>
      <c r="G721" s="160"/>
      <c r="H721" s="160"/>
      <c r="I721" s="160"/>
      <c r="J721" s="160"/>
      <c r="K721" s="160"/>
      <c r="L721" s="160"/>
      <c r="M721" s="160"/>
    </row>
    <row r="722" spans="2:13">
      <c r="B722" s="396"/>
      <c r="C722" s="160"/>
      <c r="D722" s="160"/>
      <c r="E722" s="160"/>
      <c r="F722" s="160"/>
      <c r="G722" s="160"/>
      <c r="H722" s="160"/>
      <c r="I722" s="160"/>
      <c r="J722" s="160"/>
      <c r="K722" s="160"/>
      <c r="L722" s="160"/>
      <c r="M722" s="160"/>
    </row>
    <row r="723" spans="2:13">
      <c r="B723" s="396"/>
      <c r="C723" s="160"/>
      <c r="D723" s="160"/>
      <c r="E723" s="160"/>
      <c r="F723" s="160"/>
      <c r="G723" s="160"/>
      <c r="H723" s="160"/>
      <c r="I723" s="160"/>
      <c r="J723" s="160"/>
      <c r="K723" s="160"/>
      <c r="L723" s="160"/>
      <c r="M723" s="160"/>
    </row>
    <row r="724" spans="2:13">
      <c r="B724" s="396"/>
      <c r="C724" s="160"/>
      <c r="D724" s="160"/>
      <c r="E724" s="160"/>
      <c r="F724" s="160"/>
      <c r="G724" s="160"/>
      <c r="H724" s="160"/>
      <c r="I724" s="160"/>
      <c r="J724" s="160"/>
      <c r="K724" s="160"/>
      <c r="L724" s="160"/>
      <c r="M724" s="160"/>
    </row>
    <row r="725" spans="2:13">
      <c r="B725" s="396"/>
      <c r="C725" s="160"/>
      <c r="D725" s="160"/>
      <c r="E725" s="160"/>
      <c r="F725" s="160"/>
      <c r="G725" s="160"/>
      <c r="H725" s="160"/>
      <c r="I725" s="160"/>
      <c r="J725" s="160"/>
      <c r="K725" s="160"/>
      <c r="L725" s="160"/>
      <c r="M725" s="160"/>
    </row>
    <row r="726" spans="2:13">
      <c r="B726" s="396"/>
      <c r="C726" s="160"/>
      <c r="D726" s="160"/>
      <c r="E726" s="160"/>
      <c r="F726" s="160"/>
      <c r="G726" s="160"/>
      <c r="H726" s="160"/>
      <c r="I726" s="160"/>
      <c r="J726" s="160"/>
      <c r="K726" s="160"/>
      <c r="L726" s="160"/>
      <c r="M726" s="160"/>
    </row>
    <row r="727" spans="2:13">
      <c r="B727" s="396"/>
      <c r="C727" s="160"/>
      <c r="D727" s="160"/>
      <c r="E727" s="160"/>
      <c r="F727" s="160"/>
      <c r="G727" s="160"/>
      <c r="H727" s="160"/>
      <c r="I727" s="160"/>
      <c r="J727" s="160"/>
      <c r="K727" s="160"/>
      <c r="L727" s="160"/>
      <c r="M727" s="160"/>
    </row>
    <row r="728" spans="2:13">
      <c r="B728" s="396"/>
      <c r="C728" s="160"/>
      <c r="D728" s="160"/>
      <c r="E728" s="160"/>
      <c r="F728" s="160"/>
      <c r="G728" s="160"/>
      <c r="H728" s="160"/>
      <c r="I728" s="160"/>
      <c r="J728" s="160"/>
      <c r="K728" s="160"/>
      <c r="L728" s="160"/>
      <c r="M728" s="160"/>
    </row>
    <row r="729" spans="2:13">
      <c r="B729" s="396"/>
      <c r="C729" s="160"/>
      <c r="D729" s="160"/>
      <c r="E729" s="160"/>
      <c r="F729" s="160"/>
      <c r="G729" s="160"/>
      <c r="H729" s="160"/>
      <c r="I729" s="160"/>
      <c r="J729" s="160"/>
      <c r="K729" s="160"/>
      <c r="L729" s="160"/>
      <c r="M729" s="160"/>
    </row>
    <row r="730" spans="2:13">
      <c r="B730" s="396"/>
      <c r="C730" s="160"/>
      <c r="D730" s="160"/>
      <c r="E730" s="160"/>
      <c r="F730" s="160"/>
      <c r="G730" s="160"/>
      <c r="H730" s="160"/>
      <c r="I730" s="160"/>
      <c r="J730" s="160"/>
      <c r="K730" s="160"/>
      <c r="L730" s="160"/>
      <c r="M730" s="160"/>
    </row>
    <row r="731" spans="2:13">
      <c r="B731" s="396"/>
      <c r="C731" s="160"/>
      <c r="D731" s="160"/>
      <c r="E731" s="160"/>
      <c r="F731" s="160"/>
      <c r="G731" s="160"/>
      <c r="H731" s="160"/>
      <c r="I731" s="160"/>
      <c r="J731" s="160"/>
      <c r="K731" s="160"/>
      <c r="L731" s="160"/>
      <c r="M731" s="160"/>
    </row>
    <row r="732" spans="2:13">
      <c r="B732" s="396"/>
      <c r="C732" s="160"/>
      <c r="D732" s="160"/>
      <c r="E732" s="160"/>
      <c r="F732" s="160"/>
      <c r="G732" s="160"/>
      <c r="H732" s="160"/>
      <c r="I732" s="160"/>
      <c r="J732" s="160"/>
      <c r="K732" s="160"/>
      <c r="L732" s="160"/>
      <c r="M732" s="160"/>
    </row>
    <row r="733" spans="2:13">
      <c r="B733" s="396"/>
      <c r="C733" s="160"/>
      <c r="D733" s="160"/>
      <c r="E733" s="160"/>
      <c r="F733" s="160"/>
      <c r="G733" s="160"/>
      <c r="H733" s="160"/>
      <c r="I733" s="160"/>
      <c r="J733" s="160"/>
      <c r="K733" s="160"/>
      <c r="L733" s="160"/>
      <c r="M733" s="160"/>
    </row>
    <row r="734" spans="2:13">
      <c r="B734" s="396"/>
      <c r="C734" s="160"/>
      <c r="D734" s="160"/>
      <c r="E734" s="160"/>
      <c r="F734" s="160"/>
      <c r="G734" s="160"/>
      <c r="H734" s="160"/>
      <c r="I734" s="160"/>
      <c r="J734" s="160"/>
      <c r="K734" s="160"/>
      <c r="L734" s="160"/>
      <c r="M734" s="160"/>
    </row>
    <row r="735" spans="2:13">
      <c r="B735" s="396"/>
      <c r="C735" s="160"/>
      <c r="D735" s="160"/>
      <c r="E735" s="160"/>
      <c r="F735" s="160"/>
      <c r="G735" s="160"/>
      <c r="H735" s="160"/>
      <c r="I735" s="160"/>
      <c r="J735" s="160"/>
      <c r="K735" s="160"/>
      <c r="L735" s="160"/>
      <c r="M735" s="160"/>
    </row>
    <row r="736" spans="2:13">
      <c r="B736" s="396"/>
      <c r="C736" s="160"/>
      <c r="D736" s="160"/>
      <c r="E736" s="160"/>
      <c r="F736" s="160"/>
      <c r="G736" s="160"/>
      <c r="H736" s="160"/>
      <c r="I736" s="160"/>
      <c r="J736" s="160"/>
      <c r="K736" s="160"/>
      <c r="L736" s="160"/>
      <c r="M736" s="160"/>
    </row>
    <row r="737" spans="2:13">
      <c r="B737" s="396"/>
      <c r="C737" s="160"/>
      <c r="D737" s="160"/>
      <c r="E737" s="160"/>
      <c r="F737" s="160"/>
      <c r="G737" s="160"/>
      <c r="H737" s="160"/>
      <c r="I737" s="160"/>
      <c r="J737" s="160"/>
      <c r="K737" s="160"/>
      <c r="L737" s="160"/>
      <c r="M737" s="160"/>
    </row>
    <row r="738" spans="2:13">
      <c r="B738" s="396"/>
      <c r="C738" s="160"/>
      <c r="D738" s="160"/>
      <c r="E738" s="160"/>
      <c r="F738" s="160"/>
      <c r="G738" s="160"/>
      <c r="H738" s="160"/>
      <c r="I738" s="160"/>
      <c r="J738" s="160"/>
      <c r="K738" s="160"/>
      <c r="L738" s="160"/>
      <c r="M738" s="160"/>
    </row>
    <row r="739" spans="2:13">
      <c r="B739" s="396"/>
      <c r="C739" s="160"/>
      <c r="D739" s="160"/>
      <c r="E739" s="160"/>
      <c r="F739" s="160"/>
      <c r="G739" s="160"/>
      <c r="H739" s="160"/>
      <c r="I739" s="160"/>
      <c r="J739" s="160"/>
      <c r="K739" s="160"/>
      <c r="L739" s="160"/>
      <c r="M739" s="160"/>
    </row>
    <row r="740" spans="2:13">
      <c r="B740" s="396"/>
      <c r="C740" s="160"/>
      <c r="D740" s="160"/>
      <c r="E740" s="160"/>
      <c r="F740" s="160"/>
      <c r="G740" s="160"/>
      <c r="H740" s="160"/>
      <c r="I740" s="160"/>
      <c r="J740" s="160"/>
      <c r="K740" s="160"/>
      <c r="L740" s="160"/>
      <c r="M740" s="160"/>
    </row>
    <row r="741" spans="2:13">
      <c r="B741" s="396"/>
      <c r="C741" s="160"/>
      <c r="D741" s="160"/>
      <c r="E741" s="160"/>
      <c r="F741" s="160"/>
      <c r="G741" s="160"/>
      <c r="H741" s="160"/>
      <c r="I741" s="160"/>
      <c r="J741" s="160"/>
      <c r="K741" s="160"/>
      <c r="L741" s="160"/>
      <c r="M741" s="160"/>
    </row>
    <row r="742" spans="2:13">
      <c r="B742" s="396"/>
      <c r="C742" s="160"/>
      <c r="D742" s="160"/>
      <c r="E742" s="160"/>
      <c r="F742" s="160"/>
      <c r="G742" s="160"/>
      <c r="H742" s="160"/>
      <c r="I742" s="160"/>
      <c r="J742" s="160"/>
      <c r="K742" s="160"/>
      <c r="L742" s="160"/>
      <c r="M742" s="160"/>
    </row>
    <row r="743" spans="2:13">
      <c r="B743" s="396"/>
      <c r="C743" s="160"/>
      <c r="D743" s="160"/>
      <c r="E743" s="160"/>
      <c r="F743" s="160"/>
      <c r="G743" s="160"/>
      <c r="H743" s="160"/>
      <c r="I743" s="160"/>
      <c r="J743" s="160"/>
      <c r="K743" s="160"/>
      <c r="L743" s="160"/>
      <c r="M743" s="160"/>
    </row>
    <row r="744" spans="2:13">
      <c r="B744" s="396"/>
      <c r="C744" s="160"/>
      <c r="D744" s="160"/>
      <c r="E744" s="160"/>
      <c r="F744" s="160"/>
      <c r="G744" s="160"/>
      <c r="H744" s="160"/>
      <c r="I744" s="160"/>
      <c r="J744" s="160"/>
      <c r="K744" s="160"/>
      <c r="L744" s="160"/>
      <c r="M744" s="160"/>
    </row>
    <row r="745" spans="2:13">
      <c r="B745" s="396"/>
      <c r="C745" s="160"/>
      <c r="D745" s="160"/>
      <c r="E745" s="160"/>
      <c r="F745" s="160"/>
      <c r="G745" s="160"/>
      <c r="H745" s="160"/>
      <c r="I745" s="160"/>
      <c r="J745" s="160"/>
      <c r="K745" s="160"/>
      <c r="L745" s="160"/>
      <c r="M745" s="160"/>
    </row>
    <row r="746" spans="2:13">
      <c r="B746" s="396"/>
      <c r="C746" s="160"/>
      <c r="D746" s="160"/>
      <c r="E746" s="160"/>
      <c r="F746" s="160"/>
      <c r="G746" s="160"/>
      <c r="H746" s="160"/>
      <c r="I746" s="160"/>
      <c r="J746" s="160"/>
      <c r="K746" s="160"/>
      <c r="L746" s="160"/>
      <c r="M746" s="160"/>
    </row>
    <row r="747" spans="2:13">
      <c r="B747" s="396"/>
      <c r="C747" s="160"/>
      <c r="D747" s="160"/>
      <c r="E747" s="160"/>
      <c r="F747" s="160"/>
      <c r="G747" s="160"/>
      <c r="H747" s="160"/>
      <c r="I747" s="160"/>
      <c r="J747" s="160"/>
      <c r="K747" s="160"/>
      <c r="L747" s="160"/>
      <c r="M747" s="160"/>
    </row>
    <row r="748" spans="2:13">
      <c r="B748" s="396"/>
      <c r="C748" s="160"/>
      <c r="D748" s="160"/>
      <c r="E748" s="160"/>
      <c r="F748" s="160"/>
      <c r="G748" s="160"/>
      <c r="H748" s="160"/>
      <c r="I748" s="160"/>
      <c r="J748" s="160"/>
      <c r="K748" s="160"/>
      <c r="L748" s="160"/>
      <c r="M748" s="160"/>
    </row>
    <row r="749" spans="2:13">
      <c r="B749" s="396"/>
      <c r="C749" s="160"/>
      <c r="D749" s="160"/>
      <c r="E749" s="160"/>
      <c r="F749" s="160"/>
      <c r="G749" s="160"/>
      <c r="H749" s="160"/>
      <c r="I749" s="160"/>
      <c r="J749" s="160"/>
      <c r="K749" s="160"/>
      <c r="L749" s="160"/>
      <c r="M749" s="160"/>
    </row>
    <row r="750" spans="2:13">
      <c r="B750" s="396"/>
      <c r="C750" s="160"/>
      <c r="D750" s="160"/>
      <c r="E750" s="160"/>
      <c r="F750" s="160"/>
      <c r="G750" s="160"/>
      <c r="H750" s="160"/>
      <c r="I750" s="160"/>
      <c r="J750" s="160"/>
      <c r="K750" s="160"/>
      <c r="L750" s="160"/>
      <c r="M750" s="160"/>
    </row>
    <row r="751" spans="2:13">
      <c r="B751" s="396"/>
      <c r="C751" s="160"/>
      <c r="D751" s="160"/>
      <c r="E751" s="160"/>
      <c r="F751" s="160"/>
      <c r="G751" s="160"/>
      <c r="H751" s="160"/>
      <c r="I751" s="160"/>
      <c r="J751" s="160"/>
      <c r="K751" s="160"/>
      <c r="L751" s="160"/>
      <c r="M751" s="160"/>
    </row>
    <row r="752" spans="2:13">
      <c r="B752" s="396"/>
      <c r="C752" s="160"/>
      <c r="D752" s="160"/>
      <c r="E752" s="160"/>
      <c r="F752" s="160"/>
      <c r="G752" s="160"/>
      <c r="H752" s="160"/>
      <c r="I752" s="160"/>
      <c r="J752" s="160"/>
      <c r="K752" s="160"/>
      <c r="L752" s="160"/>
      <c r="M752" s="160"/>
    </row>
    <row r="753" spans="2:13">
      <c r="B753" s="396"/>
      <c r="C753" s="160"/>
      <c r="D753" s="160"/>
      <c r="E753" s="160"/>
      <c r="F753" s="160"/>
      <c r="G753" s="160"/>
      <c r="H753" s="160"/>
      <c r="I753" s="160"/>
      <c r="J753" s="160"/>
      <c r="K753" s="160"/>
      <c r="L753" s="160"/>
      <c r="M753" s="160"/>
    </row>
    <row r="754" spans="2:13">
      <c r="B754" s="396"/>
      <c r="C754" s="160"/>
      <c r="D754" s="160"/>
      <c r="E754" s="160"/>
      <c r="F754" s="160"/>
      <c r="G754" s="160"/>
      <c r="H754" s="160"/>
      <c r="I754" s="160"/>
      <c r="J754" s="160"/>
      <c r="K754" s="160"/>
      <c r="L754" s="160"/>
      <c r="M754" s="160"/>
    </row>
    <row r="755" spans="2:13">
      <c r="B755" s="396"/>
      <c r="C755" s="160"/>
      <c r="D755" s="160"/>
      <c r="E755" s="160"/>
      <c r="F755" s="160"/>
      <c r="G755" s="160"/>
      <c r="H755" s="160"/>
      <c r="I755" s="160"/>
      <c r="J755" s="160"/>
      <c r="K755" s="160"/>
      <c r="L755" s="160"/>
      <c r="M755" s="160"/>
    </row>
    <row r="756" spans="2:13">
      <c r="B756" s="396"/>
      <c r="C756" s="160"/>
      <c r="D756" s="160"/>
      <c r="E756" s="160"/>
      <c r="F756" s="160"/>
      <c r="G756" s="160"/>
      <c r="H756" s="160"/>
      <c r="I756" s="160"/>
      <c r="J756" s="160"/>
      <c r="K756" s="160"/>
      <c r="L756" s="160"/>
      <c r="M756" s="160"/>
    </row>
    <row r="757" spans="2:13">
      <c r="B757" s="396"/>
      <c r="C757" s="160"/>
      <c r="D757" s="160"/>
      <c r="E757" s="160"/>
      <c r="F757" s="160"/>
      <c r="G757" s="160"/>
      <c r="H757" s="160"/>
      <c r="I757" s="160"/>
      <c r="J757" s="160"/>
      <c r="K757" s="160"/>
      <c r="L757" s="160"/>
      <c r="M757" s="160"/>
    </row>
    <row r="758" spans="2:13">
      <c r="B758" s="396"/>
      <c r="C758" s="160"/>
      <c r="D758" s="160"/>
      <c r="E758" s="160"/>
      <c r="F758" s="160"/>
      <c r="G758" s="160"/>
      <c r="H758" s="160"/>
      <c r="I758" s="160"/>
      <c r="J758" s="160"/>
      <c r="K758" s="160"/>
      <c r="L758" s="160"/>
      <c r="M758" s="160"/>
    </row>
    <row r="759" spans="2:13">
      <c r="B759" s="396"/>
      <c r="C759" s="160"/>
      <c r="D759" s="160"/>
      <c r="E759" s="160"/>
      <c r="F759" s="160"/>
      <c r="G759" s="160"/>
      <c r="H759" s="160"/>
      <c r="I759" s="160"/>
      <c r="J759" s="160"/>
      <c r="K759" s="160"/>
      <c r="L759" s="160"/>
      <c r="M759" s="160"/>
    </row>
    <row r="760" spans="2:13">
      <c r="B760" s="396"/>
      <c r="C760" s="160"/>
      <c r="D760" s="160"/>
      <c r="E760" s="160"/>
      <c r="F760" s="160"/>
      <c r="G760" s="160"/>
      <c r="H760" s="160"/>
      <c r="I760" s="160"/>
      <c r="J760" s="160"/>
      <c r="K760" s="160"/>
      <c r="L760" s="160"/>
      <c r="M760" s="160"/>
    </row>
    <row r="761" spans="2:13">
      <c r="B761" s="396"/>
      <c r="C761" s="160"/>
      <c r="D761" s="160"/>
      <c r="E761" s="160"/>
      <c r="F761" s="160"/>
      <c r="G761" s="160"/>
      <c r="H761" s="160"/>
      <c r="I761" s="160"/>
      <c r="J761" s="160"/>
      <c r="K761" s="160"/>
      <c r="L761" s="160"/>
      <c r="M761" s="160"/>
    </row>
    <row r="762" spans="2:13">
      <c r="B762" s="396"/>
      <c r="C762" s="160"/>
      <c r="D762" s="160"/>
      <c r="E762" s="160"/>
      <c r="F762" s="160"/>
      <c r="G762" s="160"/>
      <c r="H762" s="160"/>
      <c r="I762" s="160"/>
      <c r="J762" s="160"/>
      <c r="K762" s="160"/>
      <c r="L762" s="160"/>
      <c r="M762" s="160"/>
    </row>
    <row r="763" spans="2:13">
      <c r="B763" s="396"/>
      <c r="C763" s="160"/>
      <c r="D763" s="160"/>
      <c r="E763" s="160"/>
      <c r="F763" s="160"/>
      <c r="G763" s="160"/>
      <c r="H763" s="160"/>
      <c r="I763" s="160"/>
      <c r="J763" s="160"/>
      <c r="K763" s="160"/>
      <c r="L763" s="160"/>
      <c r="M763" s="160"/>
    </row>
    <row r="764" spans="2:13">
      <c r="B764" s="396"/>
      <c r="C764" s="160"/>
      <c r="D764" s="160"/>
      <c r="E764" s="160"/>
      <c r="F764" s="160"/>
      <c r="G764" s="160"/>
      <c r="H764" s="160"/>
      <c r="I764" s="160"/>
      <c r="J764" s="160"/>
      <c r="K764" s="160"/>
      <c r="L764" s="160"/>
      <c r="M764" s="160"/>
    </row>
    <row r="765" spans="2:13">
      <c r="B765" s="396"/>
      <c r="C765" s="160"/>
      <c r="D765" s="160"/>
      <c r="E765" s="160"/>
      <c r="F765" s="160"/>
      <c r="G765" s="160"/>
      <c r="H765" s="160"/>
      <c r="I765" s="160"/>
      <c r="J765" s="160"/>
      <c r="K765" s="160"/>
      <c r="L765" s="160"/>
      <c r="M765" s="160"/>
    </row>
    <row r="766" spans="2:13">
      <c r="B766" s="396"/>
      <c r="C766" s="160"/>
      <c r="D766" s="160"/>
      <c r="E766" s="160"/>
      <c r="F766" s="160"/>
      <c r="G766" s="160"/>
      <c r="H766" s="160"/>
      <c r="I766" s="160"/>
      <c r="J766" s="160"/>
      <c r="K766" s="160"/>
      <c r="L766" s="160"/>
      <c r="M766" s="160"/>
    </row>
    <row r="767" spans="2:13">
      <c r="B767" s="396"/>
      <c r="C767" s="160"/>
      <c r="D767" s="160"/>
      <c r="E767" s="160"/>
      <c r="F767" s="160"/>
      <c r="G767" s="160"/>
      <c r="H767" s="160"/>
      <c r="I767" s="160"/>
      <c r="J767" s="160"/>
      <c r="K767" s="160"/>
      <c r="L767" s="160"/>
      <c r="M767" s="160"/>
    </row>
    <row r="768" spans="2:13">
      <c r="B768" s="396"/>
      <c r="C768" s="160"/>
      <c r="D768" s="160"/>
      <c r="E768" s="160"/>
      <c r="F768" s="160"/>
      <c r="G768" s="160"/>
      <c r="H768" s="160"/>
      <c r="I768" s="160"/>
      <c r="J768" s="160"/>
      <c r="K768" s="160"/>
      <c r="L768" s="160"/>
      <c r="M768" s="160"/>
    </row>
    <row r="769" spans="2:13">
      <c r="B769" s="396"/>
      <c r="C769" s="160"/>
      <c r="D769" s="160"/>
      <c r="E769" s="160"/>
      <c r="F769" s="160"/>
      <c r="G769" s="160"/>
      <c r="H769" s="160"/>
      <c r="I769" s="160"/>
      <c r="J769" s="160"/>
      <c r="K769" s="160"/>
      <c r="L769" s="160"/>
      <c r="M769" s="160"/>
    </row>
    <row r="770" spans="2:13">
      <c r="B770" s="396"/>
      <c r="C770" s="160"/>
      <c r="D770" s="160"/>
      <c r="E770" s="160"/>
      <c r="F770" s="160"/>
      <c r="G770" s="160"/>
      <c r="H770" s="160"/>
      <c r="I770" s="160"/>
      <c r="J770" s="160"/>
      <c r="K770" s="160"/>
      <c r="L770" s="160"/>
      <c r="M770" s="160"/>
    </row>
    <row r="771" spans="2:13">
      <c r="B771" s="396"/>
      <c r="C771" s="160"/>
      <c r="D771" s="160"/>
      <c r="E771" s="160"/>
      <c r="F771" s="160"/>
      <c r="G771" s="160"/>
      <c r="H771" s="160"/>
      <c r="I771" s="160"/>
      <c r="J771" s="160"/>
      <c r="K771" s="160"/>
      <c r="L771" s="160"/>
      <c r="M771" s="160"/>
    </row>
    <row r="772" spans="2:13">
      <c r="B772" s="396"/>
      <c r="C772" s="160"/>
      <c r="D772" s="160"/>
      <c r="E772" s="160"/>
      <c r="F772" s="160"/>
      <c r="G772" s="160"/>
      <c r="H772" s="160"/>
      <c r="I772" s="160"/>
      <c r="J772" s="160"/>
      <c r="K772" s="160"/>
      <c r="L772" s="160"/>
      <c r="M772" s="160"/>
    </row>
    <row r="773" spans="2:13">
      <c r="B773" s="396"/>
      <c r="C773" s="160"/>
      <c r="D773" s="160"/>
      <c r="E773" s="160"/>
      <c r="F773" s="160"/>
      <c r="G773" s="160"/>
      <c r="H773" s="160"/>
      <c r="I773" s="160"/>
      <c r="J773" s="160"/>
      <c r="K773" s="160"/>
      <c r="L773" s="160"/>
      <c r="M773" s="160"/>
    </row>
    <row r="774" spans="2:13">
      <c r="B774" s="396"/>
      <c r="C774" s="160"/>
      <c r="D774" s="160"/>
      <c r="E774" s="160"/>
      <c r="F774" s="160"/>
      <c r="G774" s="160"/>
      <c r="H774" s="160"/>
      <c r="I774" s="160"/>
      <c r="J774" s="160"/>
      <c r="K774" s="160"/>
      <c r="L774" s="160"/>
      <c r="M774" s="160"/>
    </row>
    <row r="775" spans="2:13">
      <c r="B775" s="396"/>
      <c r="C775" s="160"/>
      <c r="D775" s="160"/>
      <c r="E775" s="160"/>
      <c r="F775" s="160"/>
      <c r="G775" s="160"/>
      <c r="H775" s="160"/>
      <c r="I775" s="160"/>
      <c r="J775" s="160"/>
      <c r="K775" s="160"/>
      <c r="L775" s="160"/>
      <c r="M775" s="160"/>
    </row>
    <row r="776" spans="2:13">
      <c r="B776" s="396"/>
      <c r="C776" s="160"/>
      <c r="D776" s="160"/>
      <c r="E776" s="160"/>
      <c r="F776" s="160"/>
      <c r="G776" s="160"/>
      <c r="H776" s="160"/>
      <c r="I776" s="160"/>
      <c r="J776" s="160"/>
      <c r="K776" s="160"/>
      <c r="L776" s="160"/>
      <c r="M776" s="160"/>
    </row>
    <row r="777" spans="2:13">
      <c r="B777" s="396"/>
      <c r="C777" s="160"/>
      <c r="D777" s="160"/>
      <c r="E777" s="160"/>
      <c r="F777" s="160"/>
      <c r="G777" s="160"/>
      <c r="H777" s="160"/>
      <c r="I777" s="160"/>
      <c r="J777" s="160"/>
      <c r="K777" s="160"/>
      <c r="L777" s="160"/>
      <c r="M777" s="160"/>
    </row>
    <row r="778" spans="2:13">
      <c r="B778" s="396"/>
      <c r="C778" s="160"/>
      <c r="D778" s="160"/>
      <c r="E778" s="160"/>
      <c r="F778" s="160"/>
      <c r="G778" s="160"/>
      <c r="H778" s="160"/>
      <c r="I778" s="160"/>
      <c r="J778" s="160"/>
      <c r="K778" s="160"/>
      <c r="L778" s="160"/>
      <c r="M778" s="160"/>
    </row>
    <row r="779" spans="2:13">
      <c r="B779" s="396"/>
      <c r="C779" s="160"/>
      <c r="D779" s="160"/>
      <c r="E779" s="160"/>
      <c r="F779" s="160"/>
      <c r="G779" s="160"/>
      <c r="H779" s="160"/>
      <c r="I779" s="160"/>
      <c r="J779" s="160"/>
      <c r="K779" s="160"/>
      <c r="L779" s="160"/>
      <c r="M779" s="160"/>
    </row>
    <row r="780" spans="2:13">
      <c r="B780" s="396"/>
      <c r="C780" s="160"/>
      <c r="D780" s="160"/>
      <c r="E780" s="160"/>
      <c r="F780" s="160"/>
      <c r="G780" s="160"/>
      <c r="H780" s="160"/>
      <c r="I780" s="160"/>
      <c r="J780" s="160"/>
      <c r="K780" s="160"/>
      <c r="L780" s="160"/>
      <c r="M780" s="160"/>
    </row>
    <row r="781" spans="2:13">
      <c r="B781" s="396"/>
      <c r="C781" s="160"/>
      <c r="D781" s="160"/>
      <c r="E781" s="160"/>
      <c r="F781" s="160"/>
      <c r="G781" s="160"/>
      <c r="H781" s="160"/>
      <c r="I781" s="160"/>
      <c r="J781" s="160"/>
      <c r="K781" s="160"/>
      <c r="L781" s="160"/>
      <c r="M781" s="160"/>
    </row>
    <row r="782" spans="2:13">
      <c r="B782" s="396"/>
      <c r="C782" s="160"/>
      <c r="D782" s="160"/>
      <c r="E782" s="160"/>
      <c r="F782" s="160"/>
      <c r="G782" s="160"/>
      <c r="H782" s="160"/>
      <c r="I782" s="160"/>
      <c r="J782" s="160"/>
      <c r="K782" s="160"/>
      <c r="L782" s="160"/>
      <c r="M782" s="160"/>
    </row>
    <row r="783" spans="2:13">
      <c r="B783" s="396"/>
      <c r="C783" s="160"/>
      <c r="D783" s="160"/>
      <c r="E783" s="160"/>
      <c r="F783" s="160"/>
      <c r="G783" s="160"/>
      <c r="H783" s="160"/>
      <c r="I783" s="160"/>
      <c r="J783" s="160"/>
      <c r="K783" s="160"/>
      <c r="L783" s="160"/>
      <c r="M783" s="160"/>
    </row>
    <row r="784" spans="2:13">
      <c r="B784" s="396"/>
      <c r="C784" s="160"/>
      <c r="D784" s="160"/>
      <c r="E784" s="160"/>
      <c r="F784" s="160"/>
      <c r="G784" s="160"/>
      <c r="H784" s="160"/>
      <c r="I784" s="160"/>
      <c r="J784" s="160"/>
      <c r="K784" s="160"/>
      <c r="L784" s="160"/>
      <c r="M784" s="160"/>
    </row>
    <row r="785" spans="2:13">
      <c r="B785" s="396"/>
      <c r="C785" s="160"/>
      <c r="D785" s="160"/>
      <c r="E785" s="160"/>
      <c r="F785" s="160"/>
      <c r="G785" s="160"/>
      <c r="H785" s="160"/>
      <c r="I785" s="160"/>
      <c r="J785" s="160"/>
      <c r="K785" s="160"/>
      <c r="L785" s="160"/>
      <c r="M785" s="160"/>
    </row>
    <row r="786" spans="2:13">
      <c r="B786" s="396"/>
      <c r="C786" s="160"/>
      <c r="D786" s="160"/>
      <c r="E786" s="160"/>
      <c r="F786" s="160"/>
      <c r="G786" s="160"/>
      <c r="H786" s="160"/>
      <c r="I786" s="160"/>
      <c r="J786" s="160"/>
      <c r="K786" s="160"/>
      <c r="L786" s="160"/>
      <c r="M786" s="160"/>
    </row>
    <row r="787" spans="2:13">
      <c r="B787" s="396"/>
      <c r="C787" s="160"/>
      <c r="D787" s="160"/>
      <c r="E787" s="160"/>
      <c r="F787" s="160"/>
      <c r="G787" s="160"/>
      <c r="H787" s="160"/>
      <c r="I787" s="160"/>
      <c r="J787" s="160"/>
      <c r="K787" s="160"/>
      <c r="L787" s="160"/>
      <c r="M787" s="160"/>
    </row>
    <row r="788" spans="2:13">
      <c r="B788" s="396"/>
      <c r="C788" s="160"/>
      <c r="D788" s="160"/>
      <c r="E788" s="160"/>
      <c r="F788" s="160"/>
      <c r="G788" s="160"/>
      <c r="H788" s="160"/>
      <c r="I788" s="160"/>
      <c r="J788" s="160"/>
      <c r="K788" s="160"/>
      <c r="L788" s="160"/>
      <c r="M788" s="160"/>
    </row>
    <row r="789" spans="2:13">
      <c r="B789" s="396"/>
      <c r="C789" s="160"/>
      <c r="D789" s="160"/>
      <c r="E789" s="160"/>
      <c r="F789" s="160"/>
      <c r="G789" s="160"/>
      <c r="H789" s="160"/>
      <c r="I789" s="160"/>
      <c r="J789" s="160"/>
      <c r="K789" s="160"/>
      <c r="L789" s="160"/>
      <c r="M789" s="160"/>
    </row>
    <row r="790" spans="2:13">
      <c r="B790" s="396"/>
      <c r="C790" s="160"/>
      <c r="D790" s="160"/>
      <c r="E790" s="160"/>
      <c r="F790" s="160"/>
      <c r="G790" s="160"/>
      <c r="H790" s="160"/>
      <c r="I790" s="160"/>
      <c r="J790" s="160"/>
      <c r="K790" s="160"/>
      <c r="L790" s="160"/>
      <c r="M790" s="160"/>
    </row>
    <row r="791" spans="2:13">
      <c r="B791" s="396"/>
      <c r="C791" s="160"/>
      <c r="D791" s="160"/>
      <c r="E791" s="160"/>
      <c r="F791" s="160"/>
      <c r="G791" s="160"/>
      <c r="H791" s="160"/>
      <c r="I791" s="160"/>
      <c r="J791" s="160"/>
      <c r="K791" s="160"/>
      <c r="L791" s="160"/>
      <c r="M791" s="160"/>
    </row>
    <row r="792" spans="2:13">
      <c r="B792" s="396"/>
      <c r="C792" s="160"/>
      <c r="D792" s="160"/>
      <c r="E792" s="160"/>
      <c r="F792" s="160"/>
      <c r="G792" s="160"/>
      <c r="H792" s="160"/>
      <c r="I792" s="160"/>
      <c r="J792" s="160"/>
      <c r="K792" s="160"/>
      <c r="L792" s="160"/>
      <c r="M792" s="160"/>
    </row>
    <row r="793" spans="2:13">
      <c r="B793" s="396"/>
      <c r="C793" s="160"/>
      <c r="D793" s="160"/>
      <c r="E793" s="160"/>
      <c r="F793" s="160"/>
      <c r="G793" s="160"/>
      <c r="H793" s="160"/>
      <c r="I793" s="160"/>
      <c r="J793" s="160"/>
      <c r="K793" s="160"/>
      <c r="L793" s="160"/>
      <c r="M793" s="160"/>
    </row>
    <row r="794" spans="2:13">
      <c r="B794" s="396"/>
      <c r="C794" s="160"/>
      <c r="D794" s="160"/>
      <c r="E794" s="160"/>
      <c r="F794" s="160"/>
      <c r="G794" s="160"/>
      <c r="H794" s="160"/>
      <c r="I794" s="160"/>
      <c r="J794" s="160"/>
      <c r="K794" s="160"/>
      <c r="L794" s="160"/>
      <c r="M794" s="160"/>
    </row>
    <row r="795" spans="2:13">
      <c r="B795" s="396"/>
      <c r="C795" s="160"/>
      <c r="D795" s="160"/>
      <c r="E795" s="160"/>
      <c r="F795" s="160"/>
      <c r="G795" s="160"/>
      <c r="H795" s="160"/>
      <c r="I795" s="160"/>
      <c r="J795" s="160"/>
      <c r="K795" s="160"/>
      <c r="L795" s="160"/>
      <c r="M795" s="160"/>
    </row>
    <row r="796" spans="2:13">
      <c r="B796" s="396"/>
      <c r="C796" s="160"/>
      <c r="D796" s="160"/>
      <c r="E796" s="160"/>
      <c r="F796" s="160"/>
      <c r="G796" s="160"/>
      <c r="H796" s="160"/>
      <c r="I796" s="160"/>
      <c r="J796" s="160"/>
      <c r="K796" s="160"/>
      <c r="L796" s="160"/>
      <c r="M796" s="160"/>
    </row>
    <row r="797" spans="2:13">
      <c r="B797" s="396"/>
      <c r="C797" s="160"/>
      <c r="D797" s="160"/>
      <c r="E797" s="160"/>
      <c r="F797" s="160"/>
      <c r="G797" s="160"/>
      <c r="H797" s="160"/>
      <c r="I797" s="160"/>
      <c r="J797" s="160"/>
      <c r="K797" s="160"/>
      <c r="L797" s="160"/>
      <c r="M797" s="160"/>
    </row>
    <row r="798" spans="2:13">
      <c r="B798" s="396"/>
      <c r="C798" s="160"/>
      <c r="D798" s="160"/>
      <c r="E798" s="160"/>
      <c r="F798" s="160"/>
      <c r="G798" s="160"/>
      <c r="H798" s="160"/>
      <c r="I798" s="160"/>
      <c r="J798" s="160"/>
      <c r="K798" s="160"/>
      <c r="L798" s="160"/>
      <c r="M798" s="160"/>
    </row>
    <row r="799" spans="2:13">
      <c r="B799" s="396"/>
      <c r="C799" s="160"/>
      <c r="D799" s="160"/>
      <c r="E799" s="160"/>
      <c r="F799" s="160"/>
      <c r="G799" s="160"/>
      <c r="H799" s="160"/>
      <c r="I799" s="160"/>
      <c r="J799" s="160"/>
      <c r="K799" s="160"/>
      <c r="L799" s="160"/>
      <c r="M799" s="160"/>
    </row>
    <row r="800" spans="2:13">
      <c r="B800" s="396"/>
      <c r="C800" s="160"/>
      <c r="D800" s="160"/>
      <c r="E800" s="160"/>
      <c r="F800" s="160"/>
      <c r="G800" s="160"/>
      <c r="H800" s="160"/>
      <c r="I800" s="160"/>
      <c r="J800" s="160"/>
      <c r="K800" s="160"/>
      <c r="L800" s="160"/>
      <c r="M800" s="160"/>
    </row>
    <row r="801" spans="2:13">
      <c r="B801" s="396"/>
      <c r="C801" s="160"/>
      <c r="D801" s="160"/>
      <c r="E801" s="160"/>
      <c r="F801" s="160"/>
      <c r="G801" s="160"/>
      <c r="H801" s="160"/>
      <c r="I801" s="160"/>
      <c r="J801" s="160"/>
      <c r="K801" s="160"/>
      <c r="L801" s="160"/>
      <c r="M801" s="160"/>
    </row>
    <row r="802" spans="2:13">
      <c r="B802" s="396"/>
      <c r="C802" s="160"/>
      <c r="D802" s="160"/>
      <c r="E802" s="160"/>
      <c r="F802" s="160"/>
      <c r="G802" s="160"/>
      <c r="H802" s="160"/>
      <c r="I802" s="160"/>
      <c r="J802" s="160"/>
      <c r="K802" s="160"/>
      <c r="L802" s="160"/>
      <c r="M802" s="160"/>
    </row>
    <row r="803" spans="2:13">
      <c r="B803" s="396"/>
      <c r="C803" s="160"/>
      <c r="D803" s="160"/>
      <c r="E803" s="160"/>
      <c r="F803" s="160"/>
      <c r="G803" s="160"/>
      <c r="H803" s="160"/>
      <c r="I803" s="160"/>
      <c r="J803" s="160"/>
      <c r="K803" s="160"/>
      <c r="L803" s="160"/>
      <c r="M803" s="160"/>
    </row>
    <row r="804" spans="2:13">
      <c r="B804" s="396"/>
      <c r="C804" s="160"/>
      <c r="D804" s="160"/>
      <c r="E804" s="160"/>
      <c r="F804" s="160"/>
      <c r="G804" s="160"/>
      <c r="H804" s="160"/>
      <c r="I804" s="160"/>
      <c r="J804" s="160"/>
      <c r="K804" s="160"/>
      <c r="L804" s="160"/>
      <c r="M804" s="160"/>
    </row>
    <row r="805" spans="2:13">
      <c r="B805" s="396"/>
      <c r="C805" s="160"/>
      <c r="D805" s="160"/>
      <c r="E805" s="160"/>
      <c r="F805" s="160"/>
      <c r="G805" s="160"/>
      <c r="H805" s="160"/>
      <c r="I805" s="160"/>
      <c r="J805" s="160"/>
      <c r="K805" s="160"/>
      <c r="L805" s="160"/>
      <c r="M805" s="160"/>
    </row>
    <row r="806" spans="2:13">
      <c r="B806" s="396"/>
      <c r="C806" s="160"/>
      <c r="D806" s="160"/>
      <c r="E806" s="160"/>
      <c r="F806" s="160"/>
      <c r="G806" s="160"/>
      <c r="H806" s="160"/>
      <c r="I806" s="160"/>
      <c r="J806" s="160"/>
      <c r="K806" s="160"/>
      <c r="L806" s="160"/>
      <c r="M806" s="160"/>
    </row>
    <row r="807" spans="2:13">
      <c r="B807" s="396"/>
      <c r="C807" s="160"/>
      <c r="D807" s="160"/>
      <c r="E807" s="160"/>
      <c r="F807" s="160"/>
      <c r="G807" s="160"/>
      <c r="H807" s="160"/>
      <c r="I807" s="160"/>
      <c r="J807" s="160"/>
      <c r="K807" s="160"/>
      <c r="L807" s="160"/>
      <c r="M807" s="160"/>
    </row>
    <row r="808" spans="2:13">
      <c r="B808" s="396"/>
      <c r="C808" s="160"/>
      <c r="D808" s="160"/>
      <c r="E808" s="160"/>
      <c r="F808" s="160"/>
      <c r="G808" s="160"/>
      <c r="H808" s="160"/>
      <c r="I808" s="160"/>
      <c r="J808" s="160"/>
      <c r="K808" s="160"/>
      <c r="L808" s="160"/>
      <c r="M808" s="160"/>
    </row>
    <row r="809" spans="2:13">
      <c r="B809" s="396"/>
      <c r="C809" s="160"/>
      <c r="D809" s="160"/>
      <c r="E809" s="160"/>
      <c r="F809" s="160"/>
      <c r="G809" s="160"/>
      <c r="H809" s="160"/>
      <c r="I809" s="160"/>
      <c r="J809" s="160"/>
      <c r="K809" s="160"/>
      <c r="L809" s="160"/>
      <c r="M809" s="160"/>
    </row>
    <row r="810" spans="2:13">
      <c r="B810" s="396"/>
      <c r="C810" s="160"/>
      <c r="D810" s="160"/>
      <c r="E810" s="160"/>
      <c r="F810" s="160"/>
      <c r="G810" s="160"/>
      <c r="H810" s="160"/>
      <c r="I810" s="160"/>
      <c r="J810" s="160"/>
      <c r="K810" s="160"/>
      <c r="L810" s="160"/>
      <c r="M810" s="160"/>
    </row>
    <row r="811" spans="2:13">
      <c r="B811" s="396"/>
      <c r="C811" s="160"/>
      <c r="D811" s="160"/>
      <c r="E811" s="160"/>
      <c r="F811" s="160"/>
      <c r="G811" s="160"/>
      <c r="H811" s="160"/>
      <c r="I811" s="160"/>
      <c r="J811" s="160"/>
      <c r="K811" s="160"/>
      <c r="L811" s="160"/>
      <c r="M811" s="160"/>
    </row>
    <row r="812" spans="2:13">
      <c r="B812" s="396"/>
      <c r="C812" s="160"/>
      <c r="D812" s="160"/>
      <c r="E812" s="160"/>
      <c r="F812" s="160"/>
      <c r="G812" s="160"/>
      <c r="H812" s="160"/>
      <c r="I812" s="160"/>
      <c r="J812" s="160"/>
      <c r="K812" s="160"/>
      <c r="L812" s="160"/>
      <c r="M812" s="160"/>
    </row>
    <row r="813" spans="2:13">
      <c r="B813" s="396"/>
      <c r="C813" s="160"/>
      <c r="D813" s="160"/>
      <c r="E813" s="160"/>
      <c r="F813" s="160"/>
      <c r="G813" s="160"/>
      <c r="H813" s="160"/>
      <c r="I813" s="160"/>
      <c r="J813" s="160"/>
      <c r="K813" s="160"/>
      <c r="L813" s="160"/>
      <c r="M813" s="160"/>
    </row>
    <row r="814" spans="2:13">
      <c r="B814" s="396"/>
      <c r="C814" s="160"/>
      <c r="D814" s="160"/>
      <c r="E814" s="160"/>
      <c r="F814" s="160"/>
      <c r="G814" s="160"/>
      <c r="H814" s="160"/>
      <c r="I814" s="160"/>
      <c r="J814" s="160"/>
      <c r="K814" s="160"/>
      <c r="L814" s="160"/>
      <c r="M814" s="160"/>
    </row>
    <row r="815" spans="2:13">
      <c r="B815" s="396"/>
      <c r="C815" s="160"/>
      <c r="D815" s="160"/>
      <c r="E815" s="160"/>
      <c r="F815" s="160"/>
      <c r="G815" s="160"/>
      <c r="H815" s="160"/>
      <c r="I815" s="160"/>
      <c r="J815" s="160"/>
      <c r="K815" s="160"/>
      <c r="L815" s="160"/>
      <c r="M815" s="160"/>
    </row>
    <row r="816" spans="2:13">
      <c r="B816" s="396"/>
      <c r="C816" s="160"/>
      <c r="D816" s="160"/>
      <c r="E816" s="160"/>
      <c r="F816" s="160"/>
      <c r="G816" s="160"/>
      <c r="H816" s="160"/>
      <c r="I816" s="160"/>
      <c r="J816" s="160"/>
      <c r="K816" s="160"/>
      <c r="L816" s="160"/>
      <c r="M816" s="160"/>
    </row>
    <row r="817" spans="2:13">
      <c r="B817" s="396"/>
      <c r="C817" s="160"/>
      <c r="D817" s="160"/>
      <c r="E817" s="160"/>
      <c r="F817" s="160"/>
      <c r="G817" s="160"/>
      <c r="H817" s="160"/>
      <c r="I817" s="160"/>
      <c r="J817" s="160"/>
      <c r="K817" s="160"/>
      <c r="L817" s="160"/>
      <c r="M817" s="160"/>
    </row>
    <row r="818" spans="2:13">
      <c r="B818" s="396"/>
      <c r="C818" s="160"/>
      <c r="D818" s="160"/>
      <c r="E818" s="160"/>
      <c r="F818" s="160"/>
      <c r="G818" s="160"/>
      <c r="H818" s="160"/>
      <c r="I818" s="160"/>
      <c r="J818" s="160"/>
      <c r="K818" s="160"/>
      <c r="L818" s="160"/>
      <c r="M818" s="160"/>
    </row>
    <row r="819" spans="2:13">
      <c r="B819" s="396"/>
      <c r="C819" s="160"/>
      <c r="D819" s="160"/>
      <c r="E819" s="160"/>
      <c r="F819" s="160"/>
      <c r="G819" s="160"/>
      <c r="H819" s="160"/>
      <c r="I819" s="160"/>
      <c r="J819" s="160"/>
      <c r="K819" s="160"/>
      <c r="L819" s="160"/>
      <c r="M819" s="160"/>
    </row>
    <row r="820" spans="2:13">
      <c r="B820" s="396"/>
      <c r="C820" s="160"/>
      <c r="D820" s="160"/>
      <c r="E820" s="160"/>
      <c r="F820" s="160"/>
      <c r="G820" s="160"/>
      <c r="H820" s="160"/>
      <c r="I820" s="160"/>
      <c r="J820" s="160"/>
      <c r="K820" s="160"/>
      <c r="L820" s="160"/>
      <c r="M820" s="160"/>
    </row>
    <row r="821" spans="2:13">
      <c r="B821" s="396"/>
      <c r="C821" s="160"/>
      <c r="D821" s="160"/>
      <c r="E821" s="160"/>
      <c r="F821" s="160"/>
      <c r="G821" s="160"/>
      <c r="H821" s="160"/>
      <c r="I821" s="160"/>
      <c r="J821" s="160"/>
      <c r="K821" s="160"/>
      <c r="L821" s="160"/>
      <c r="M821" s="160"/>
    </row>
    <row r="822" spans="2:13">
      <c r="B822" s="396"/>
      <c r="C822" s="160"/>
      <c r="D822" s="160"/>
      <c r="E822" s="160"/>
      <c r="F822" s="160"/>
      <c r="G822" s="160"/>
      <c r="H822" s="160"/>
      <c r="I822" s="160"/>
      <c r="J822" s="160"/>
      <c r="K822" s="160"/>
      <c r="L822" s="160"/>
      <c r="M822" s="160"/>
    </row>
    <row r="823" spans="2:13">
      <c r="B823" s="396"/>
      <c r="C823" s="160"/>
      <c r="D823" s="160"/>
      <c r="E823" s="160"/>
      <c r="F823" s="160"/>
      <c r="G823" s="160"/>
      <c r="H823" s="160"/>
      <c r="I823" s="160"/>
      <c r="J823" s="160"/>
      <c r="K823" s="160"/>
      <c r="L823" s="160"/>
      <c r="M823" s="160"/>
    </row>
    <row r="824" spans="2:13">
      <c r="B824" s="396"/>
      <c r="C824" s="160"/>
      <c r="D824" s="160"/>
      <c r="E824" s="160"/>
      <c r="F824" s="160"/>
      <c r="G824" s="160"/>
      <c r="H824" s="160"/>
      <c r="I824" s="160"/>
      <c r="J824" s="160"/>
      <c r="K824" s="160"/>
      <c r="L824" s="160"/>
      <c r="M824" s="160"/>
    </row>
    <row r="825" spans="2:13">
      <c r="B825" s="396"/>
      <c r="C825" s="160"/>
      <c r="D825" s="160"/>
      <c r="E825" s="160"/>
      <c r="F825" s="160"/>
      <c r="G825" s="160"/>
      <c r="H825" s="160"/>
      <c r="I825" s="160"/>
      <c r="J825" s="160"/>
      <c r="K825" s="160"/>
      <c r="L825" s="160"/>
      <c r="M825" s="160"/>
    </row>
    <row r="826" spans="2:13">
      <c r="B826" s="396"/>
      <c r="C826" s="160"/>
      <c r="D826" s="160"/>
      <c r="E826" s="160"/>
      <c r="F826" s="160"/>
      <c r="G826" s="160"/>
      <c r="H826" s="160"/>
      <c r="I826" s="160"/>
      <c r="J826" s="160"/>
      <c r="K826" s="160"/>
      <c r="L826" s="160"/>
      <c r="M826" s="160"/>
    </row>
    <row r="827" spans="2:13">
      <c r="B827" s="396"/>
      <c r="C827" s="160"/>
      <c r="D827" s="160"/>
      <c r="E827" s="160"/>
      <c r="F827" s="160"/>
      <c r="G827" s="160"/>
      <c r="H827" s="160"/>
      <c r="I827" s="160"/>
      <c r="J827" s="160"/>
      <c r="K827" s="160"/>
      <c r="L827" s="160"/>
      <c r="M827" s="160"/>
    </row>
    <row r="828" spans="2:13">
      <c r="B828" s="396"/>
      <c r="C828" s="160"/>
      <c r="D828" s="160"/>
      <c r="E828" s="160"/>
      <c r="F828" s="160"/>
      <c r="G828" s="160"/>
      <c r="H828" s="160"/>
      <c r="I828" s="160"/>
      <c r="J828" s="160"/>
      <c r="K828" s="160"/>
      <c r="L828" s="160"/>
      <c r="M828" s="160"/>
    </row>
    <row r="829" spans="2:13">
      <c r="B829" s="396"/>
      <c r="C829" s="160"/>
      <c r="D829" s="160"/>
      <c r="E829" s="160"/>
      <c r="F829" s="160"/>
      <c r="G829" s="160"/>
      <c r="H829" s="160"/>
      <c r="I829" s="160"/>
      <c r="J829" s="160"/>
      <c r="K829" s="160"/>
      <c r="L829" s="160"/>
      <c r="M829" s="160"/>
    </row>
    <row r="830" spans="2:13">
      <c r="B830" s="396"/>
      <c r="C830" s="160"/>
      <c r="D830" s="160"/>
      <c r="E830" s="160"/>
      <c r="F830" s="160"/>
      <c r="G830" s="160"/>
      <c r="H830" s="160"/>
      <c r="I830" s="160"/>
      <c r="J830" s="160"/>
      <c r="K830" s="160"/>
      <c r="L830" s="160"/>
      <c r="M830" s="160"/>
    </row>
    <row r="831" spans="2:13">
      <c r="B831" s="396"/>
      <c r="C831" s="160"/>
      <c r="D831" s="160"/>
      <c r="E831" s="160"/>
      <c r="F831" s="160"/>
      <c r="G831" s="160"/>
      <c r="H831" s="160"/>
      <c r="I831" s="160"/>
      <c r="J831" s="160"/>
      <c r="K831" s="160"/>
      <c r="L831" s="160"/>
      <c r="M831" s="160"/>
    </row>
    <row r="832" spans="2:13">
      <c r="B832" s="396"/>
      <c r="C832" s="160"/>
      <c r="D832" s="160"/>
      <c r="E832" s="160"/>
      <c r="F832" s="160"/>
      <c r="G832" s="160"/>
      <c r="H832" s="160"/>
      <c r="I832" s="160"/>
      <c r="J832" s="160"/>
      <c r="K832" s="160"/>
      <c r="L832" s="160"/>
      <c r="M832" s="160"/>
    </row>
    <row r="833" spans="2:13">
      <c r="B833" s="396"/>
      <c r="C833" s="160"/>
      <c r="D833" s="160"/>
      <c r="E833" s="160"/>
      <c r="F833" s="160"/>
      <c r="G833" s="160"/>
      <c r="H833" s="160"/>
      <c r="I833" s="160"/>
      <c r="J833" s="160"/>
      <c r="K833" s="160"/>
      <c r="L833" s="160"/>
      <c r="M833" s="160"/>
    </row>
    <row r="834" spans="2:13">
      <c r="B834" s="396"/>
      <c r="C834" s="160"/>
      <c r="D834" s="160"/>
      <c r="E834" s="160"/>
      <c r="F834" s="160"/>
      <c r="G834" s="160"/>
      <c r="H834" s="160"/>
      <c r="I834" s="160"/>
      <c r="J834" s="160"/>
      <c r="K834" s="160"/>
      <c r="L834" s="160"/>
      <c r="M834" s="160"/>
    </row>
    <row r="835" spans="2:13">
      <c r="B835" s="396"/>
      <c r="C835" s="160"/>
      <c r="D835" s="160"/>
      <c r="E835" s="160"/>
      <c r="F835" s="160"/>
      <c r="G835" s="160"/>
      <c r="H835" s="160"/>
      <c r="I835" s="160"/>
      <c r="J835" s="160"/>
      <c r="K835" s="160"/>
      <c r="L835" s="160"/>
      <c r="M835" s="160"/>
    </row>
    <row r="836" spans="2:13">
      <c r="B836" s="396"/>
      <c r="C836" s="160"/>
      <c r="D836" s="160"/>
      <c r="E836" s="160"/>
      <c r="F836" s="160"/>
      <c r="G836" s="160"/>
      <c r="H836" s="160"/>
      <c r="I836" s="160"/>
      <c r="J836" s="160"/>
      <c r="K836" s="160"/>
      <c r="L836" s="160"/>
      <c r="M836" s="160"/>
    </row>
    <row r="837" spans="2:13">
      <c r="B837" s="396"/>
      <c r="C837" s="160"/>
      <c r="D837" s="160"/>
      <c r="E837" s="160"/>
      <c r="F837" s="160"/>
      <c r="G837" s="160"/>
      <c r="H837" s="160"/>
      <c r="I837" s="160"/>
      <c r="J837" s="160"/>
      <c r="K837" s="160"/>
      <c r="L837" s="160"/>
      <c r="M837" s="160"/>
    </row>
    <row r="838" spans="2:13">
      <c r="B838" s="396"/>
      <c r="C838" s="160"/>
      <c r="D838" s="160"/>
      <c r="E838" s="160"/>
      <c r="F838" s="160"/>
      <c r="G838" s="160"/>
      <c r="H838" s="160"/>
      <c r="I838" s="160"/>
      <c r="J838" s="160"/>
      <c r="K838" s="160"/>
      <c r="L838" s="160"/>
      <c r="M838" s="160"/>
    </row>
    <row r="839" spans="2:13">
      <c r="B839" s="396"/>
      <c r="C839" s="160"/>
      <c r="D839" s="160"/>
      <c r="E839" s="160"/>
      <c r="F839" s="160"/>
      <c r="G839" s="160"/>
      <c r="H839" s="160"/>
      <c r="I839" s="160"/>
      <c r="J839" s="160"/>
      <c r="K839" s="160"/>
      <c r="L839" s="160"/>
      <c r="M839" s="160"/>
    </row>
    <row r="840" spans="2:13">
      <c r="B840" s="396"/>
      <c r="C840" s="160"/>
      <c r="D840" s="160"/>
      <c r="E840" s="160"/>
      <c r="F840" s="160"/>
      <c r="G840" s="160"/>
      <c r="H840" s="160"/>
      <c r="I840" s="160"/>
      <c r="J840" s="160"/>
      <c r="K840" s="160"/>
      <c r="L840" s="160"/>
      <c r="M840" s="160"/>
    </row>
    <row r="841" spans="2:13">
      <c r="B841" s="396"/>
      <c r="C841" s="160"/>
      <c r="D841" s="160"/>
      <c r="E841" s="160"/>
      <c r="F841" s="160"/>
      <c r="G841" s="160"/>
      <c r="H841" s="160"/>
      <c r="I841" s="160"/>
      <c r="J841" s="160"/>
      <c r="K841" s="160"/>
      <c r="L841" s="160"/>
      <c r="M841" s="160"/>
    </row>
    <row r="842" spans="2:13">
      <c r="B842" s="396"/>
      <c r="C842" s="160"/>
      <c r="D842" s="160"/>
      <c r="E842" s="160"/>
      <c r="F842" s="160"/>
      <c r="G842" s="160"/>
      <c r="H842" s="160"/>
      <c r="I842" s="160"/>
      <c r="J842" s="160"/>
      <c r="K842" s="160"/>
      <c r="L842" s="160"/>
      <c r="M842" s="160"/>
    </row>
    <row r="843" spans="2:13">
      <c r="B843" s="396"/>
      <c r="C843" s="160"/>
      <c r="D843" s="160"/>
      <c r="E843" s="160"/>
      <c r="F843" s="160"/>
      <c r="G843" s="160"/>
      <c r="H843" s="160"/>
      <c r="I843" s="160"/>
      <c r="J843" s="160"/>
      <c r="K843" s="160"/>
      <c r="L843" s="160"/>
      <c r="M843" s="160"/>
    </row>
    <row r="844" spans="2:13">
      <c r="B844" s="396"/>
      <c r="C844" s="160"/>
      <c r="D844" s="160"/>
      <c r="E844" s="160"/>
      <c r="F844" s="160"/>
      <c r="G844" s="160"/>
      <c r="H844" s="160"/>
      <c r="I844" s="160"/>
      <c r="J844" s="160"/>
      <c r="K844" s="160"/>
      <c r="L844" s="160"/>
      <c r="M844" s="160"/>
    </row>
    <row r="845" spans="2:13">
      <c r="B845" s="396"/>
      <c r="C845" s="160"/>
      <c r="D845" s="160"/>
      <c r="E845" s="160"/>
      <c r="F845" s="160"/>
      <c r="G845" s="160"/>
      <c r="H845" s="160"/>
      <c r="I845" s="160"/>
      <c r="J845" s="160"/>
      <c r="K845" s="160"/>
      <c r="L845" s="160"/>
      <c r="M845" s="160"/>
    </row>
    <row r="846" spans="2:13">
      <c r="B846" s="396"/>
      <c r="C846" s="160"/>
      <c r="D846" s="160"/>
      <c r="E846" s="160"/>
      <c r="F846" s="160"/>
      <c r="G846" s="160"/>
      <c r="H846" s="160"/>
      <c r="I846" s="160"/>
      <c r="J846" s="160"/>
      <c r="K846" s="160"/>
      <c r="L846" s="160"/>
      <c r="M846" s="160"/>
    </row>
    <row r="847" spans="2:13">
      <c r="B847" s="396"/>
      <c r="C847" s="160"/>
      <c r="D847" s="160"/>
      <c r="E847" s="160"/>
      <c r="F847" s="160"/>
      <c r="G847" s="160"/>
      <c r="H847" s="160"/>
      <c r="I847" s="160"/>
      <c r="J847" s="160"/>
      <c r="K847" s="160"/>
      <c r="L847" s="160"/>
      <c r="M847" s="160"/>
    </row>
    <row r="848" spans="2:13">
      <c r="B848" s="396"/>
      <c r="C848" s="160"/>
      <c r="D848" s="160"/>
      <c r="E848" s="160"/>
      <c r="F848" s="160"/>
      <c r="G848" s="160"/>
      <c r="H848" s="160"/>
      <c r="I848" s="160"/>
      <c r="J848" s="160"/>
      <c r="K848" s="160"/>
      <c r="L848" s="160"/>
      <c r="M848" s="160"/>
    </row>
    <row r="849" spans="2:13">
      <c r="B849" s="396"/>
      <c r="C849" s="160"/>
      <c r="D849" s="160"/>
      <c r="E849" s="160"/>
      <c r="F849" s="160"/>
      <c r="G849" s="160"/>
      <c r="H849" s="160"/>
      <c r="I849" s="160"/>
      <c r="J849" s="160"/>
      <c r="K849" s="160"/>
      <c r="L849" s="160"/>
      <c r="M849" s="160"/>
    </row>
    <row r="850" spans="2:13">
      <c r="B850" s="396"/>
      <c r="C850" s="160"/>
      <c r="D850" s="160"/>
      <c r="E850" s="160"/>
      <c r="F850" s="160"/>
      <c r="G850" s="160"/>
      <c r="H850" s="160"/>
      <c r="I850" s="160"/>
      <c r="J850" s="160"/>
      <c r="K850" s="160"/>
      <c r="L850" s="160"/>
      <c r="M850" s="160"/>
    </row>
    <row r="851" spans="2:13">
      <c r="B851" s="396"/>
      <c r="C851" s="160"/>
      <c r="D851" s="160"/>
      <c r="E851" s="160"/>
      <c r="F851" s="160"/>
      <c r="G851" s="160"/>
      <c r="H851" s="160"/>
      <c r="I851" s="160"/>
      <c r="J851" s="160"/>
      <c r="K851" s="160"/>
      <c r="L851" s="160"/>
      <c r="M851" s="160"/>
    </row>
    <row r="852" spans="2:13">
      <c r="B852" s="396"/>
      <c r="C852" s="160"/>
      <c r="D852" s="160"/>
      <c r="E852" s="160"/>
      <c r="F852" s="160"/>
      <c r="G852" s="160"/>
      <c r="H852" s="160"/>
      <c r="I852" s="160"/>
      <c r="J852" s="160"/>
      <c r="K852" s="160"/>
      <c r="L852" s="160"/>
      <c r="M852" s="160"/>
    </row>
    <row r="853" spans="2:13">
      <c r="B853" s="396"/>
      <c r="C853" s="160"/>
      <c r="D853" s="160"/>
      <c r="E853" s="160"/>
      <c r="F853" s="160"/>
      <c r="G853" s="160"/>
      <c r="H853" s="160"/>
      <c r="I853" s="160"/>
      <c r="J853" s="160"/>
      <c r="K853" s="160"/>
      <c r="L853" s="160"/>
      <c r="M853" s="160"/>
    </row>
    <row r="854" spans="2:13">
      <c r="B854" s="396"/>
      <c r="C854" s="160"/>
      <c r="D854" s="160"/>
      <c r="E854" s="160"/>
      <c r="F854" s="160"/>
      <c r="G854" s="160"/>
      <c r="H854" s="160"/>
      <c r="I854" s="160"/>
      <c r="J854" s="160"/>
      <c r="K854" s="160"/>
      <c r="L854" s="160"/>
      <c r="M854" s="160"/>
    </row>
    <row r="855" spans="2:13">
      <c r="B855" s="396"/>
      <c r="C855" s="160"/>
      <c r="D855" s="160"/>
      <c r="E855" s="160"/>
      <c r="F855" s="160"/>
      <c r="G855" s="160"/>
      <c r="H855" s="160"/>
      <c r="I855" s="160"/>
      <c r="J855" s="160"/>
      <c r="K855" s="160"/>
      <c r="L855" s="160"/>
      <c r="M855" s="160"/>
    </row>
    <row r="856" spans="2:13">
      <c r="B856" s="396"/>
      <c r="C856" s="160"/>
      <c r="D856" s="160"/>
      <c r="E856" s="160"/>
      <c r="F856" s="160"/>
      <c r="G856" s="160"/>
      <c r="H856" s="160"/>
      <c r="I856" s="160"/>
      <c r="J856" s="160"/>
      <c r="K856" s="160"/>
      <c r="L856" s="160"/>
      <c r="M856" s="160"/>
    </row>
    <row r="857" spans="2:13">
      <c r="B857" s="396"/>
      <c r="C857" s="160"/>
      <c r="D857" s="160"/>
      <c r="E857" s="160"/>
      <c r="F857" s="160"/>
      <c r="G857" s="160"/>
      <c r="H857" s="160"/>
      <c r="I857" s="160"/>
      <c r="J857" s="160"/>
      <c r="K857" s="160"/>
      <c r="L857" s="160"/>
      <c r="M857" s="160"/>
    </row>
    <row r="858" spans="2:13">
      <c r="B858" s="396"/>
      <c r="C858" s="160"/>
      <c r="D858" s="160"/>
      <c r="E858" s="160"/>
      <c r="F858" s="160"/>
      <c r="G858" s="160"/>
      <c r="H858" s="160"/>
      <c r="I858" s="160"/>
      <c r="J858" s="160"/>
      <c r="K858" s="160"/>
      <c r="L858" s="160"/>
      <c r="M858" s="160"/>
    </row>
    <row r="859" spans="2:13">
      <c r="B859" s="396"/>
      <c r="C859" s="160"/>
      <c r="D859" s="160"/>
      <c r="E859" s="160"/>
      <c r="F859" s="160"/>
      <c r="G859" s="160"/>
      <c r="H859" s="160"/>
      <c r="I859" s="160"/>
      <c r="J859" s="160"/>
      <c r="K859" s="160"/>
      <c r="L859" s="160"/>
      <c r="M859" s="160"/>
    </row>
    <row r="860" spans="2:13">
      <c r="B860" s="396"/>
      <c r="C860" s="160"/>
      <c r="D860" s="160"/>
      <c r="E860" s="160"/>
      <c r="F860" s="160"/>
      <c r="G860" s="160"/>
      <c r="H860" s="160"/>
      <c r="I860" s="160"/>
      <c r="J860" s="160"/>
      <c r="K860" s="160"/>
      <c r="L860" s="160"/>
      <c r="M860" s="160"/>
    </row>
    <row r="861" spans="2:13">
      <c r="B861" s="396"/>
      <c r="C861" s="160"/>
      <c r="D861" s="160"/>
      <c r="E861" s="160"/>
      <c r="F861" s="160"/>
      <c r="G861" s="160"/>
      <c r="H861" s="160"/>
      <c r="I861" s="160"/>
      <c r="J861" s="160"/>
      <c r="K861" s="160"/>
      <c r="L861" s="160"/>
      <c r="M861" s="160"/>
    </row>
    <row r="862" spans="2:13">
      <c r="B862" s="396"/>
      <c r="C862" s="160"/>
      <c r="D862" s="160"/>
      <c r="E862" s="160"/>
      <c r="F862" s="160"/>
      <c r="G862" s="160"/>
      <c r="H862" s="160"/>
      <c r="I862" s="160"/>
      <c r="J862" s="160"/>
      <c r="K862" s="160"/>
      <c r="L862" s="160"/>
      <c r="M862" s="160"/>
    </row>
    <row r="863" spans="2:13">
      <c r="B863" s="396"/>
      <c r="C863" s="160"/>
      <c r="D863" s="160"/>
      <c r="E863" s="160"/>
      <c r="F863" s="160"/>
      <c r="G863" s="160"/>
      <c r="H863" s="160"/>
      <c r="I863" s="160"/>
      <c r="J863" s="160"/>
      <c r="K863" s="160"/>
      <c r="L863" s="160"/>
      <c r="M863" s="160"/>
    </row>
    <row r="864" spans="2:13">
      <c r="B864" s="396"/>
      <c r="C864" s="160"/>
      <c r="D864" s="160"/>
      <c r="E864" s="160"/>
      <c r="F864" s="160"/>
      <c r="G864" s="160"/>
      <c r="H864" s="160"/>
      <c r="I864" s="160"/>
      <c r="J864" s="160"/>
      <c r="K864" s="160"/>
      <c r="L864" s="160"/>
      <c r="M864" s="160"/>
    </row>
    <row r="865" spans="2:13">
      <c r="B865" s="396"/>
      <c r="C865" s="160"/>
      <c r="D865" s="160"/>
      <c r="E865" s="160"/>
      <c r="F865" s="160"/>
      <c r="G865" s="160"/>
      <c r="H865" s="160"/>
      <c r="I865" s="160"/>
      <c r="J865" s="160"/>
      <c r="K865" s="160"/>
      <c r="L865" s="160"/>
      <c r="M865" s="160"/>
    </row>
    <row r="866" spans="2:13">
      <c r="B866" s="396"/>
      <c r="C866" s="160"/>
      <c r="D866" s="160"/>
      <c r="E866" s="160"/>
      <c r="F866" s="160"/>
      <c r="G866" s="160"/>
      <c r="H866" s="160"/>
      <c r="I866" s="160"/>
      <c r="J866" s="160"/>
      <c r="K866" s="160"/>
      <c r="L866" s="160"/>
      <c r="M866" s="160"/>
    </row>
    <row r="867" spans="2:13">
      <c r="B867" s="396"/>
      <c r="C867" s="160"/>
      <c r="D867" s="160"/>
      <c r="E867" s="160"/>
      <c r="F867" s="160"/>
      <c r="G867" s="160"/>
      <c r="H867" s="160"/>
      <c r="I867" s="160"/>
      <c r="J867" s="160"/>
      <c r="K867" s="160"/>
      <c r="L867" s="160"/>
      <c r="M867" s="160"/>
    </row>
    <row r="868" spans="2:13">
      <c r="B868" s="396"/>
      <c r="C868" s="160"/>
      <c r="D868" s="160"/>
      <c r="E868" s="160"/>
      <c r="F868" s="160"/>
      <c r="G868" s="160"/>
      <c r="H868" s="160"/>
      <c r="I868" s="160"/>
      <c r="J868" s="160"/>
      <c r="K868" s="160"/>
      <c r="L868" s="160"/>
      <c r="M868" s="160"/>
    </row>
    <row r="869" spans="2:13">
      <c r="B869" s="396"/>
      <c r="C869" s="160"/>
      <c r="D869" s="160"/>
      <c r="E869" s="160"/>
      <c r="F869" s="160"/>
      <c r="G869" s="160"/>
      <c r="H869" s="160"/>
      <c r="I869" s="160"/>
      <c r="J869" s="160"/>
      <c r="K869" s="160"/>
      <c r="L869" s="160"/>
      <c r="M869" s="160"/>
    </row>
    <row r="870" spans="2:13">
      <c r="B870" s="396"/>
      <c r="C870" s="160"/>
      <c r="D870" s="160"/>
      <c r="E870" s="160"/>
      <c r="F870" s="160"/>
      <c r="G870" s="160"/>
      <c r="H870" s="160"/>
      <c r="I870" s="160"/>
      <c r="J870" s="160"/>
      <c r="K870" s="160"/>
      <c r="L870" s="160"/>
      <c r="M870" s="160"/>
    </row>
    <row r="871" spans="2:13">
      <c r="B871" s="396"/>
      <c r="C871" s="160"/>
      <c r="D871" s="160"/>
      <c r="E871" s="160"/>
      <c r="F871" s="160"/>
      <c r="G871" s="160"/>
      <c r="H871" s="160"/>
      <c r="I871" s="160"/>
      <c r="J871" s="160"/>
      <c r="K871" s="160"/>
      <c r="L871" s="160"/>
      <c r="M871" s="160"/>
    </row>
    <row r="872" spans="2:13">
      <c r="B872" s="396"/>
      <c r="C872" s="160"/>
      <c r="D872" s="160"/>
      <c r="E872" s="160"/>
      <c r="F872" s="160"/>
      <c r="G872" s="160"/>
      <c r="H872" s="160"/>
      <c r="I872" s="160"/>
      <c r="J872" s="160"/>
      <c r="K872" s="160"/>
      <c r="L872" s="160"/>
      <c r="M872" s="160"/>
    </row>
    <row r="873" spans="2:13">
      <c r="B873" s="396"/>
      <c r="C873" s="160"/>
      <c r="D873" s="160"/>
      <c r="E873" s="160"/>
      <c r="F873" s="160"/>
      <c r="G873" s="160"/>
      <c r="H873" s="160"/>
      <c r="I873" s="160"/>
      <c r="J873" s="160"/>
      <c r="K873" s="160"/>
      <c r="L873" s="160"/>
      <c r="M873" s="160"/>
    </row>
    <row r="874" spans="2:13">
      <c r="B874" s="396"/>
      <c r="C874" s="160"/>
      <c r="D874" s="160"/>
      <c r="E874" s="160"/>
      <c r="F874" s="160"/>
      <c r="G874" s="160"/>
      <c r="H874" s="160"/>
      <c r="I874" s="160"/>
      <c r="J874" s="160"/>
      <c r="K874" s="160"/>
      <c r="L874" s="160"/>
      <c r="M874" s="160"/>
    </row>
    <row r="875" spans="2:13">
      <c r="B875" s="396"/>
      <c r="C875" s="160"/>
      <c r="D875" s="160"/>
      <c r="E875" s="160"/>
      <c r="F875" s="160"/>
      <c r="G875" s="160"/>
      <c r="H875" s="160"/>
      <c r="I875" s="160"/>
      <c r="J875" s="160"/>
      <c r="K875" s="160"/>
      <c r="L875" s="160"/>
      <c r="M875" s="160"/>
    </row>
    <row r="876" spans="2:13">
      <c r="B876" s="396"/>
      <c r="C876" s="160"/>
      <c r="D876" s="160"/>
      <c r="E876" s="160"/>
      <c r="F876" s="160"/>
      <c r="G876" s="160"/>
      <c r="H876" s="160"/>
      <c r="I876" s="160"/>
      <c r="J876" s="160"/>
      <c r="K876" s="160"/>
      <c r="L876" s="160"/>
      <c r="M876" s="160"/>
    </row>
    <row r="877" spans="2:13">
      <c r="B877" s="396"/>
      <c r="C877" s="160"/>
      <c r="D877" s="160"/>
      <c r="E877" s="160"/>
      <c r="F877" s="160"/>
      <c r="G877" s="160"/>
      <c r="H877" s="160"/>
      <c r="I877" s="160"/>
      <c r="J877" s="160"/>
      <c r="K877" s="160"/>
      <c r="L877" s="160"/>
      <c r="M877" s="160"/>
    </row>
    <row r="878" spans="2:13">
      <c r="B878" s="396"/>
      <c r="C878" s="160"/>
      <c r="D878" s="160"/>
      <c r="E878" s="160"/>
      <c r="F878" s="160"/>
      <c r="G878" s="160"/>
      <c r="H878" s="160"/>
      <c r="I878" s="160"/>
      <c r="J878" s="160"/>
      <c r="K878" s="160"/>
      <c r="L878" s="160"/>
      <c r="M878" s="160"/>
    </row>
    <row r="879" spans="2:13">
      <c r="B879" s="396"/>
      <c r="C879" s="160"/>
      <c r="D879" s="160"/>
      <c r="E879" s="160"/>
      <c r="F879" s="160"/>
      <c r="G879" s="160"/>
      <c r="H879" s="160"/>
      <c r="I879" s="160"/>
      <c r="J879" s="160"/>
      <c r="K879" s="160"/>
      <c r="L879" s="160"/>
      <c r="M879" s="160"/>
    </row>
    <row r="880" spans="2:13">
      <c r="B880" s="396"/>
      <c r="C880" s="160"/>
      <c r="D880" s="160"/>
      <c r="E880" s="160"/>
      <c r="F880" s="160"/>
      <c r="G880" s="160"/>
      <c r="H880" s="160"/>
      <c r="I880" s="160"/>
      <c r="J880" s="160"/>
      <c r="K880" s="160"/>
      <c r="L880" s="160"/>
      <c r="M880" s="160"/>
    </row>
    <row r="881" spans="2:13">
      <c r="B881" s="396"/>
      <c r="C881" s="160"/>
      <c r="D881" s="160"/>
      <c r="E881" s="160"/>
      <c r="F881" s="160"/>
      <c r="G881" s="160"/>
      <c r="H881" s="160"/>
      <c r="I881" s="160"/>
      <c r="J881" s="160"/>
      <c r="K881" s="160"/>
      <c r="L881" s="160"/>
      <c r="M881" s="160"/>
    </row>
    <row r="882" spans="2:13">
      <c r="B882" s="396"/>
      <c r="C882" s="160"/>
      <c r="D882" s="160"/>
      <c r="E882" s="160"/>
      <c r="F882" s="160"/>
      <c r="G882" s="160"/>
      <c r="H882" s="160"/>
      <c r="I882" s="160"/>
      <c r="J882" s="160"/>
      <c r="K882" s="160"/>
      <c r="L882" s="160"/>
      <c r="M882" s="160"/>
    </row>
    <row r="883" spans="2:13">
      <c r="B883" s="396"/>
      <c r="C883" s="160"/>
      <c r="D883" s="160"/>
      <c r="E883" s="160"/>
      <c r="F883" s="160"/>
      <c r="G883" s="160"/>
      <c r="H883" s="160"/>
      <c r="I883" s="160"/>
      <c r="J883" s="160"/>
      <c r="K883" s="160"/>
      <c r="L883" s="160"/>
      <c r="M883" s="160"/>
    </row>
    <row r="884" spans="2:13">
      <c r="B884" s="396"/>
      <c r="C884" s="160"/>
      <c r="D884" s="160"/>
      <c r="E884" s="160"/>
      <c r="F884" s="160"/>
      <c r="G884" s="160"/>
      <c r="H884" s="160"/>
      <c r="I884" s="160"/>
      <c r="J884" s="160"/>
      <c r="K884" s="160"/>
      <c r="L884" s="160"/>
      <c r="M884" s="160"/>
    </row>
    <row r="885" spans="2:13">
      <c r="B885" s="396"/>
      <c r="C885" s="160"/>
      <c r="D885" s="160"/>
      <c r="E885" s="160"/>
      <c r="F885" s="160"/>
      <c r="G885" s="160"/>
      <c r="H885" s="160"/>
      <c r="I885" s="160"/>
      <c r="J885" s="160"/>
      <c r="K885" s="160"/>
      <c r="L885" s="160"/>
      <c r="M885" s="160"/>
    </row>
    <row r="886" spans="2:13">
      <c r="B886" s="396"/>
      <c r="C886" s="160"/>
      <c r="D886" s="160"/>
      <c r="E886" s="160"/>
      <c r="F886" s="160"/>
      <c r="G886" s="160"/>
      <c r="H886" s="160"/>
      <c r="I886" s="160"/>
      <c r="J886" s="160"/>
      <c r="K886" s="160"/>
      <c r="L886" s="160"/>
      <c r="M886" s="160"/>
    </row>
    <row r="887" spans="2:13">
      <c r="B887" s="396"/>
      <c r="C887" s="160"/>
      <c r="D887" s="160"/>
      <c r="E887" s="160"/>
      <c r="F887" s="160"/>
      <c r="G887" s="160"/>
      <c r="H887" s="160"/>
      <c r="I887" s="160"/>
      <c r="J887" s="160"/>
      <c r="K887" s="160"/>
      <c r="L887" s="160"/>
      <c r="M887" s="160"/>
    </row>
    <row r="888" spans="2:13">
      <c r="B888" s="396"/>
      <c r="C888" s="160"/>
      <c r="D888" s="160"/>
      <c r="E888" s="160"/>
      <c r="F888" s="160"/>
      <c r="G888" s="160"/>
      <c r="H888" s="160"/>
      <c r="I888" s="160"/>
      <c r="J888" s="160"/>
      <c r="K888" s="160"/>
      <c r="L888" s="160"/>
      <c r="M888" s="160"/>
    </row>
    <row r="889" spans="2:13">
      <c r="B889" s="396"/>
      <c r="C889" s="160"/>
      <c r="D889" s="160"/>
      <c r="E889" s="160"/>
      <c r="F889" s="160"/>
      <c r="G889" s="160"/>
      <c r="H889" s="160"/>
      <c r="I889" s="160"/>
      <c r="J889" s="160"/>
      <c r="K889" s="160"/>
      <c r="L889" s="160"/>
      <c r="M889" s="160"/>
    </row>
    <row r="890" spans="2:13">
      <c r="B890" s="396"/>
      <c r="C890" s="160"/>
      <c r="D890" s="160"/>
      <c r="E890" s="160"/>
      <c r="F890" s="160"/>
      <c r="G890" s="160"/>
      <c r="H890" s="160"/>
      <c r="I890" s="160"/>
      <c r="J890" s="160"/>
      <c r="K890" s="160"/>
      <c r="L890" s="160"/>
      <c r="M890" s="160"/>
    </row>
    <row r="891" spans="2:13">
      <c r="B891" s="396"/>
      <c r="C891" s="160"/>
      <c r="D891" s="160"/>
      <c r="E891" s="160"/>
      <c r="F891" s="160"/>
      <c r="G891" s="160"/>
      <c r="H891" s="160"/>
      <c r="I891" s="160"/>
      <c r="J891" s="160"/>
      <c r="K891" s="160"/>
      <c r="L891" s="160"/>
      <c r="M891" s="160"/>
    </row>
    <row r="892" spans="2:13">
      <c r="B892" s="396"/>
      <c r="C892" s="160"/>
      <c r="D892" s="160"/>
      <c r="E892" s="160"/>
      <c r="F892" s="160"/>
      <c r="G892" s="160"/>
      <c r="H892" s="160"/>
      <c r="I892" s="160"/>
      <c r="J892" s="160"/>
      <c r="K892" s="160"/>
      <c r="L892" s="160"/>
      <c r="M892" s="160"/>
    </row>
    <row r="893" spans="2:13">
      <c r="B893" s="396"/>
      <c r="C893" s="160"/>
      <c r="D893" s="160"/>
      <c r="E893" s="160"/>
      <c r="F893" s="160"/>
      <c r="G893" s="160"/>
      <c r="H893" s="160"/>
      <c r="I893" s="160"/>
      <c r="J893" s="160"/>
      <c r="K893" s="160"/>
      <c r="L893" s="160"/>
      <c r="M893" s="160"/>
    </row>
    <row r="894" spans="2:13">
      <c r="B894" s="396"/>
      <c r="C894" s="160"/>
      <c r="D894" s="160"/>
      <c r="E894" s="160"/>
      <c r="F894" s="160"/>
      <c r="G894" s="160"/>
      <c r="H894" s="160"/>
      <c r="I894" s="160"/>
      <c r="J894" s="160"/>
      <c r="K894" s="160"/>
      <c r="L894" s="160"/>
      <c r="M894" s="160"/>
    </row>
    <row r="895" spans="2:13">
      <c r="B895" s="396"/>
      <c r="C895" s="160"/>
      <c r="D895" s="160"/>
      <c r="E895" s="160"/>
      <c r="F895" s="160"/>
      <c r="G895" s="160"/>
      <c r="H895" s="160"/>
      <c r="I895" s="160"/>
      <c r="J895" s="160"/>
      <c r="K895" s="160"/>
      <c r="L895" s="160"/>
      <c r="M895" s="160"/>
    </row>
    <row r="896" spans="2:13">
      <c r="B896" s="396"/>
      <c r="C896" s="160"/>
      <c r="D896" s="160"/>
      <c r="E896" s="160"/>
      <c r="F896" s="160"/>
      <c r="G896" s="160"/>
      <c r="H896" s="160"/>
      <c r="I896" s="160"/>
      <c r="J896" s="160"/>
      <c r="K896" s="160"/>
      <c r="L896" s="160"/>
      <c r="M896" s="160"/>
    </row>
    <row r="897" spans="2:13">
      <c r="B897" s="396"/>
      <c r="C897" s="160"/>
      <c r="D897" s="160"/>
      <c r="E897" s="160"/>
      <c r="F897" s="160"/>
      <c r="G897" s="160"/>
      <c r="H897" s="160"/>
      <c r="I897" s="160"/>
      <c r="J897" s="160"/>
      <c r="K897" s="160"/>
      <c r="L897" s="160"/>
      <c r="M897" s="160"/>
    </row>
    <row r="898" spans="2:13">
      <c r="B898" s="396"/>
      <c r="C898" s="160"/>
      <c r="D898" s="160"/>
      <c r="E898" s="160"/>
      <c r="F898" s="160"/>
      <c r="G898" s="160"/>
      <c r="H898" s="160"/>
      <c r="I898" s="160"/>
      <c r="J898" s="160"/>
      <c r="K898" s="160"/>
      <c r="L898" s="160"/>
      <c r="M898" s="160"/>
    </row>
    <row r="899" spans="2:13">
      <c r="B899" s="396"/>
      <c r="C899" s="160"/>
      <c r="D899" s="160"/>
      <c r="E899" s="160"/>
      <c r="F899" s="160"/>
      <c r="G899" s="160"/>
      <c r="H899" s="160"/>
      <c r="I899" s="160"/>
      <c r="J899" s="160"/>
      <c r="K899" s="160"/>
      <c r="L899" s="160"/>
      <c r="M899" s="160"/>
    </row>
    <row r="900" spans="2:13">
      <c r="B900" s="396"/>
      <c r="C900" s="160"/>
      <c r="D900" s="160"/>
      <c r="E900" s="160"/>
      <c r="F900" s="160"/>
      <c r="G900" s="160"/>
      <c r="H900" s="160"/>
      <c r="I900" s="160"/>
      <c r="J900" s="160"/>
      <c r="K900" s="160"/>
      <c r="L900" s="160"/>
      <c r="M900" s="160"/>
    </row>
    <row r="901" spans="2:13">
      <c r="B901" s="396"/>
      <c r="C901" s="160"/>
      <c r="D901" s="160"/>
      <c r="E901" s="160"/>
      <c r="F901" s="160"/>
      <c r="G901" s="160"/>
      <c r="H901" s="160"/>
      <c r="I901" s="160"/>
      <c r="J901" s="160"/>
      <c r="K901" s="160"/>
      <c r="L901" s="160"/>
      <c r="M901" s="160"/>
    </row>
    <row r="902" spans="2:13">
      <c r="B902" s="396"/>
      <c r="C902" s="160"/>
      <c r="D902" s="160"/>
      <c r="E902" s="160"/>
      <c r="F902" s="160"/>
      <c r="G902" s="160"/>
      <c r="H902" s="160"/>
      <c r="I902" s="160"/>
      <c r="J902" s="160"/>
      <c r="K902" s="160"/>
      <c r="L902" s="160"/>
      <c r="M902" s="160"/>
    </row>
    <row r="903" spans="2:13">
      <c r="B903" s="396"/>
      <c r="C903" s="160"/>
      <c r="D903" s="160"/>
      <c r="E903" s="160"/>
      <c r="F903" s="160"/>
      <c r="G903" s="160"/>
      <c r="H903" s="160"/>
      <c r="I903" s="160"/>
      <c r="J903" s="160"/>
      <c r="K903" s="160"/>
      <c r="L903" s="160"/>
      <c r="M903" s="160"/>
    </row>
    <row r="904" spans="2:13">
      <c r="B904" s="396"/>
      <c r="C904" s="160"/>
      <c r="D904" s="160"/>
      <c r="E904" s="160"/>
      <c r="F904" s="160"/>
      <c r="G904" s="160"/>
      <c r="H904" s="160"/>
      <c r="I904" s="160"/>
      <c r="J904" s="160"/>
      <c r="K904" s="160"/>
      <c r="L904" s="160"/>
      <c r="M904" s="160"/>
    </row>
    <row r="905" spans="2:13">
      <c r="B905" s="396"/>
      <c r="C905" s="160"/>
      <c r="D905" s="160"/>
      <c r="E905" s="160"/>
      <c r="F905" s="160"/>
      <c r="G905" s="160"/>
      <c r="H905" s="160"/>
      <c r="I905" s="160"/>
      <c r="J905" s="160"/>
      <c r="K905" s="160"/>
      <c r="L905" s="160"/>
      <c r="M905" s="160"/>
    </row>
    <row r="906" spans="2:13">
      <c r="B906" s="396"/>
      <c r="C906" s="160"/>
      <c r="D906" s="160"/>
      <c r="E906" s="160"/>
      <c r="F906" s="160"/>
      <c r="G906" s="160"/>
      <c r="H906" s="160"/>
      <c r="I906" s="160"/>
      <c r="J906" s="160"/>
      <c r="K906" s="160"/>
      <c r="L906" s="160"/>
      <c r="M906" s="160"/>
    </row>
    <row r="907" spans="2:13">
      <c r="B907" s="396"/>
      <c r="C907" s="160"/>
      <c r="D907" s="160"/>
      <c r="E907" s="160"/>
      <c r="F907" s="160"/>
      <c r="G907" s="160"/>
      <c r="H907" s="160"/>
      <c r="I907" s="160"/>
      <c r="J907" s="160"/>
      <c r="K907" s="160"/>
      <c r="L907" s="160"/>
      <c r="M907" s="160"/>
    </row>
    <row r="908" spans="2:13">
      <c r="B908" s="396"/>
      <c r="C908" s="160"/>
      <c r="D908" s="160"/>
      <c r="E908" s="160"/>
      <c r="F908" s="160"/>
      <c r="G908" s="160"/>
      <c r="H908" s="160"/>
      <c r="I908" s="160"/>
      <c r="J908" s="160"/>
      <c r="K908" s="160"/>
      <c r="L908" s="160"/>
      <c r="M908" s="160"/>
    </row>
    <row r="909" spans="2:13">
      <c r="B909" s="396"/>
      <c r="C909" s="160"/>
      <c r="D909" s="160"/>
      <c r="E909" s="160"/>
      <c r="F909" s="160"/>
      <c r="G909" s="160"/>
      <c r="H909" s="160"/>
      <c r="I909" s="160"/>
      <c r="J909" s="160"/>
      <c r="K909" s="160"/>
      <c r="L909" s="160"/>
      <c r="M909" s="160"/>
    </row>
    <row r="910" spans="2:13">
      <c r="B910" s="396"/>
      <c r="C910" s="160"/>
      <c r="D910" s="160"/>
      <c r="E910" s="160"/>
      <c r="F910" s="160"/>
      <c r="G910" s="160"/>
      <c r="H910" s="160"/>
      <c r="I910" s="160"/>
      <c r="J910" s="160"/>
      <c r="K910" s="160"/>
      <c r="L910" s="160"/>
      <c r="M910" s="160"/>
    </row>
    <row r="911" spans="2:13">
      <c r="B911" s="396"/>
      <c r="C911" s="160"/>
      <c r="D911" s="160"/>
      <c r="E911" s="160"/>
      <c r="F911" s="160"/>
      <c r="G911" s="160"/>
      <c r="H911" s="160"/>
      <c r="I911" s="160"/>
      <c r="J911" s="160"/>
      <c r="K911" s="160"/>
      <c r="L911" s="160"/>
      <c r="M911" s="160"/>
    </row>
    <row r="912" spans="2:13">
      <c r="B912" s="396"/>
      <c r="C912" s="160"/>
      <c r="D912" s="160"/>
      <c r="E912" s="160"/>
      <c r="F912" s="160"/>
      <c r="G912" s="160"/>
      <c r="H912" s="160"/>
      <c r="I912" s="160"/>
      <c r="J912" s="160"/>
      <c r="K912" s="160"/>
      <c r="L912" s="160"/>
      <c r="M912" s="160"/>
    </row>
    <row r="913" spans="2:13">
      <c r="B913" s="396"/>
      <c r="C913" s="160"/>
      <c r="D913" s="160"/>
      <c r="E913" s="160"/>
      <c r="F913" s="160"/>
      <c r="G913" s="160"/>
      <c r="H913" s="160"/>
      <c r="I913" s="160"/>
      <c r="J913" s="160"/>
      <c r="K913" s="160"/>
      <c r="L913" s="160"/>
      <c r="M913" s="160"/>
    </row>
    <row r="914" spans="2:13">
      <c r="B914" s="396"/>
      <c r="C914" s="160"/>
      <c r="D914" s="160"/>
      <c r="E914" s="160"/>
      <c r="F914" s="160"/>
      <c r="G914" s="160"/>
      <c r="H914" s="160"/>
      <c r="I914" s="160"/>
      <c r="J914" s="160"/>
      <c r="K914" s="160"/>
      <c r="L914" s="160"/>
      <c r="M914" s="160"/>
    </row>
    <row r="915" spans="2:13">
      <c r="B915" s="396"/>
      <c r="C915" s="160"/>
      <c r="D915" s="160"/>
      <c r="E915" s="160"/>
      <c r="F915" s="160"/>
      <c r="G915" s="160"/>
      <c r="H915" s="160"/>
      <c r="I915" s="160"/>
      <c r="J915" s="160"/>
      <c r="K915" s="160"/>
      <c r="L915" s="160"/>
      <c r="M915" s="160"/>
    </row>
    <row r="916" spans="2:13">
      <c r="B916" s="396"/>
      <c r="C916" s="160"/>
      <c r="D916" s="160"/>
      <c r="E916" s="160"/>
      <c r="F916" s="160"/>
      <c r="G916" s="160"/>
      <c r="H916" s="160"/>
      <c r="I916" s="160"/>
      <c r="J916" s="160"/>
      <c r="K916" s="160"/>
      <c r="L916" s="160"/>
      <c r="M916" s="160"/>
    </row>
    <row r="917" spans="2:13">
      <c r="B917" s="396"/>
      <c r="C917" s="160"/>
      <c r="D917" s="160"/>
      <c r="E917" s="160"/>
      <c r="F917" s="160"/>
      <c r="G917" s="160"/>
      <c r="H917" s="160"/>
      <c r="I917" s="160"/>
      <c r="J917" s="160"/>
      <c r="K917" s="160"/>
      <c r="L917" s="160"/>
      <c r="M917" s="160"/>
    </row>
    <row r="918" spans="2:13">
      <c r="B918" s="396"/>
      <c r="C918" s="160"/>
      <c r="D918" s="160"/>
      <c r="E918" s="160"/>
      <c r="F918" s="160"/>
      <c r="G918" s="160"/>
      <c r="H918" s="160"/>
      <c r="I918" s="160"/>
      <c r="J918" s="160"/>
      <c r="K918" s="160"/>
      <c r="L918" s="160"/>
      <c r="M918" s="160"/>
    </row>
    <row r="919" spans="2:13">
      <c r="B919" s="396"/>
      <c r="C919" s="160"/>
      <c r="D919" s="160"/>
      <c r="E919" s="160"/>
      <c r="F919" s="160"/>
      <c r="G919" s="160"/>
      <c r="H919" s="160"/>
      <c r="I919" s="160"/>
      <c r="J919" s="160"/>
      <c r="K919" s="160"/>
      <c r="L919" s="160"/>
      <c r="M919" s="160"/>
    </row>
    <row r="920" spans="2:13">
      <c r="B920" s="396"/>
      <c r="C920" s="160"/>
      <c r="D920" s="160"/>
      <c r="E920" s="160"/>
      <c r="F920" s="160"/>
      <c r="G920" s="160"/>
      <c r="H920" s="160"/>
      <c r="I920" s="160"/>
      <c r="J920" s="160"/>
      <c r="K920" s="160"/>
      <c r="L920" s="160"/>
      <c r="M920" s="160"/>
    </row>
    <row r="921" spans="2:13">
      <c r="B921" s="396"/>
      <c r="C921" s="160"/>
      <c r="D921" s="160"/>
      <c r="E921" s="160"/>
      <c r="F921" s="160"/>
      <c r="G921" s="160"/>
      <c r="H921" s="160"/>
      <c r="I921" s="160"/>
      <c r="J921" s="160"/>
      <c r="K921" s="160"/>
      <c r="L921" s="160"/>
      <c r="M921" s="160"/>
    </row>
    <row r="922" spans="2:13">
      <c r="B922" s="396"/>
      <c r="C922" s="160"/>
      <c r="D922" s="160"/>
      <c r="E922" s="160"/>
      <c r="F922" s="160"/>
      <c r="G922" s="160"/>
      <c r="H922" s="160"/>
      <c r="I922" s="160"/>
      <c r="J922" s="160"/>
      <c r="K922" s="160"/>
      <c r="L922" s="160"/>
      <c r="M922" s="160"/>
    </row>
    <row r="923" spans="2:13">
      <c r="B923" s="396"/>
      <c r="C923" s="160"/>
      <c r="D923" s="160"/>
      <c r="E923" s="160"/>
      <c r="F923" s="160"/>
      <c r="G923" s="160"/>
      <c r="H923" s="160"/>
      <c r="I923" s="160"/>
      <c r="J923" s="160"/>
      <c r="K923" s="160"/>
      <c r="L923" s="160"/>
      <c r="M923" s="160"/>
    </row>
    <row r="924" spans="2:13">
      <c r="B924" s="396"/>
      <c r="C924" s="160"/>
      <c r="D924" s="160"/>
      <c r="E924" s="160"/>
      <c r="F924" s="160"/>
      <c r="G924" s="160"/>
      <c r="H924" s="160"/>
      <c r="I924" s="160"/>
      <c r="J924" s="160"/>
      <c r="K924" s="160"/>
      <c r="L924" s="160"/>
      <c r="M924" s="160"/>
    </row>
    <row r="925" spans="2:13">
      <c r="B925" s="396"/>
      <c r="C925" s="160"/>
      <c r="D925" s="160"/>
      <c r="E925" s="160"/>
      <c r="F925" s="160"/>
      <c r="G925" s="160"/>
      <c r="H925" s="160"/>
      <c r="I925" s="160"/>
      <c r="J925" s="160"/>
      <c r="K925" s="160"/>
      <c r="L925" s="160"/>
      <c r="M925" s="160"/>
    </row>
    <row r="926" spans="2:13">
      <c r="B926" s="396"/>
      <c r="C926" s="160"/>
      <c r="D926" s="160"/>
      <c r="E926" s="160"/>
      <c r="F926" s="160"/>
      <c r="G926" s="160"/>
      <c r="H926" s="160"/>
      <c r="I926" s="160"/>
      <c r="J926" s="160"/>
      <c r="K926" s="160"/>
      <c r="L926" s="160"/>
      <c r="M926" s="160"/>
    </row>
    <row r="927" spans="2:13">
      <c r="B927" s="396"/>
      <c r="C927" s="160"/>
      <c r="D927" s="160"/>
      <c r="E927" s="160"/>
      <c r="F927" s="160"/>
      <c r="G927" s="160"/>
      <c r="H927" s="160"/>
      <c r="I927" s="160"/>
      <c r="J927" s="160"/>
      <c r="K927" s="160"/>
      <c r="L927" s="160"/>
      <c r="M927" s="160"/>
    </row>
    <row r="928" spans="2:13">
      <c r="B928" s="396"/>
      <c r="C928" s="160"/>
      <c r="D928" s="160"/>
      <c r="E928" s="160"/>
      <c r="F928" s="160"/>
      <c r="G928" s="160"/>
      <c r="H928" s="160"/>
      <c r="I928" s="160"/>
      <c r="J928" s="160"/>
      <c r="K928" s="160"/>
      <c r="L928" s="160"/>
      <c r="M928" s="160"/>
    </row>
    <row r="929" spans="2:13">
      <c r="B929" s="396"/>
      <c r="C929" s="160"/>
      <c r="D929" s="160"/>
      <c r="E929" s="160"/>
      <c r="F929" s="160"/>
      <c r="G929" s="160"/>
      <c r="H929" s="160"/>
      <c r="I929" s="160"/>
      <c r="J929" s="160"/>
      <c r="K929" s="160"/>
      <c r="L929" s="160"/>
      <c r="M929" s="160"/>
    </row>
    <row r="930" spans="2:13">
      <c r="B930" s="396"/>
      <c r="C930" s="160"/>
      <c r="D930" s="160"/>
      <c r="E930" s="160"/>
      <c r="F930" s="160"/>
      <c r="G930" s="160"/>
      <c r="H930" s="160"/>
      <c r="I930" s="160"/>
      <c r="J930" s="160"/>
      <c r="K930" s="160"/>
      <c r="L930" s="160"/>
      <c r="M930" s="160"/>
    </row>
    <row r="931" spans="2:13">
      <c r="B931" s="396"/>
      <c r="C931" s="160"/>
      <c r="D931" s="160"/>
      <c r="E931" s="160"/>
      <c r="F931" s="160"/>
      <c r="G931" s="160"/>
      <c r="H931" s="160"/>
      <c r="I931" s="160"/>
      <c r="J931" s="160"/>
      <c r="K931" s="160"/>
      <c r="L931" s="160"/>
      <c r="M931" s="160"/>
    </row>
    <row r="932" spans="2:13">
      <c r="B932" s="396"/>
      <c r="C932" s="160"/>
      <c r="D932" s="160"/>
      <c r="E932" s="160"/>
      <c r="F932" s="160"/>
      <c r="G932" s="160"/>
      <c r="H932" s="160"/>
      <c r="I932" s="160"/>
      <c r="J932" s="160"/>
      <c r="K932" s="160"/>
      <c r="L932" s="160"/>
      <c r="M932" s="160"/>
    </row>
    <row r="933" spans="2:13">
      <c r="B933" s="396"/>
      <c r="C933" s="160"/>
      <c r="D933" s="160"/>
      <c r="E933" s="160"/>
      <c r="F933" s="160"/>
      <c r="G933" s="160"/>
      <c r="H933" s="160"/>
      <c r="I933" s="160"/>
      <c r="J933" s="160"/>
      <c r="K933" s="160"/>
      <c r="L933" s="160"/>
      <c r="M933" s="160"/>
    </row>
    <row r="934" spans="2:13">
      <c r="B934" s="396"/>
      <c r="C934" s="160"/>
      <c r="D934" s="160"/>
      <c r="E934" s="160"/>
      <c r="F934" s="160"/>
      <c r="G934" s="160"/>
      <c r="H934" s="160"/>
      <c r="I934" s="160"/>
      <c r="J934" s="160"/>
      <c r="K934" s="160"/>
      <c r="L934" s="160"/>
      <c r="M934" s="160"/>
    </row>
    <row r="935" spans="2:13">
      <c r="B935" s="396"/>
      <c r="C935" s="160"/>
      <c r="D935" s="160"/>
      <c r="E935" s="160"/>
      <c r="F935" s="160"/>
      <c r="G935" s="160"/>
      <c r="H935" s="160"/>
      <c r="I935" s="160"/>
      <c r="J935" s="160"/>
      <c r="K935" s="160"/>
      <c r="L935" s="160"/>
      <c r="M935" s="160"/>
    </row>
    <row r="936" spans="2:13">
      <c r="B936" s="396"/>
      <c r="C936" s="160"/>
      <c r="D936" s="160"/>
      <c r="E936" s="160"/>
      <c r="F936" s="160"/>
      <c r="G936" s="160"/>
      <c r="H936" s="160"/>
      <c r="I936" s="160"/>
      <c r="J936" s="160"/>
      <c r="K936" s="160"/>
      <c r="L936" s="160"/>
      <c r="M936" s="160"/>
    </row>
    <row r="937" spans="2:13">
      <c r="B937" s="396"/>
      <c r="C937" s="160"/>
      <c r="D937" s="160"/>
      <c r="E937" s="160"/>
      <c r="F937" s="160"/>
      <c r="G937" s="160"/>
      <c r="H937" s="160"/>
      <c r="I937" s="160"/>
      <c r="J937" s="160"/>
      <c r="K937" s="160"/>
      <c r="L937" s="160"/>
      <c r="M937" s="160"/>
    </row>
    <row r="938" spans="2:13">
      <c r="B938" s="396"/>
      <c r="C938" s="160"/>
      <c r="D938" s="160"/>
      <c r="E938" s="160"/>
      <c r="F938" s="160"/>
      <c r="G938" s="160"/>
      <c r="H938" s="160"/>
      <c r="I938" s="160"/>
      <c r="J938" s="160"/>
      <c r="K938" s="160"/>
      <c r="L938" s="160"/>
      <c r="M938" s="160"/>
    </row>
    <row r="939" spans="2:13">
      <c r="B939" s="396"/>
      <c r="C939" s="160"/>
      <c r="D939" s="160"/>
      <c r="E939" s="160"/>
      <c r="F939" s="160"/>
      <c r="G939" s="160"/>
      <c r="H939" s="160"/>
      <c r="I939" s="160"/>
      <c r="J939" s="160"/>
      <c r="K939" s="160"/>
      <c r="L939" s="160"/>
      <c r="M939" s="160"/>
    </row>
    <row r="940" spans="2:13">
      <c r="B940" s="396"/>
      <c r="C940" s="160"/>
      <c r="D940" s="160"/>
      <c r="E940" s="160"/>
      <c r="F940" s="160"/>
      <c r="G940" s="160"/>
      <c r="H940" s="160"/>
      <c r="I940" s="160"/>
      <c r="J940" s="160"/>
      <c r="K940" s="160"/>
      <c r="L940" s="160"/>
      <c r="M940" s="160"/>
    </row>
    <row r="941" spans="2:13">
      <c r="B941" s="396"/>
      <c r="C941" s="160"/>
      <c r="D941" s="160"/>
      <c r="E941" s="160"/>
      <c r="F941" s="160"/>
      <c r="G941" s="160"/>
      <c r="H941" s="160"/>
      <c r="I941" s="160"/>
      <c r="J941" s="160"/>
      <c r="K941" s="160"/>
      <c r="L941" s="160"/>
      <c r="M941" s="160"/>
    </row>
    <row r="942" spans="2:13">
      <c r="B942" s="396"/>
      <c r="C942" s="160"/>
      <c r="D942" s="160"/>
      <c r="E942" s="160"/>
      <c r="F942" s="160"/>
      <c r="G942" s="160"/>
      <c r="H942" s="160"/>
      <c r="I942" s="160"/>
      <c r="J942" s="160"/>
      <c r="K942" s="160"/>
      <c r="L942" s="160"/>
      <c r="M942" s="160"/>
    </row>
    <row r="943" spans="2:13">
      <c r="B943" s="396"/>
      <c r="C943" s="160"/>
      <c r="D943" s="160"/>
      <c r="E943" s="160"/>
      <c r="F943" s="160"/>
      <c r="G943" s="160"/>
      <c r="H943" s="160"/>
      <c r="I943" s="160"/>
      <c r="J943" s="160"/>
      <c r="K943" s="160"/>
      <c r="L943" s="160"/>
      <c r="M943" s="160"/>
    </row>
    <row r="944" spans="2:13">
      <c r="B944" s="396"/>
      <c r="C944" s="160"/>
      <c r="D944" s="160"/>
      <c r="E944" s="160"/>
      <c r="F944" s="160"/>
      <c r="G944" s="160"/>
      <c r="H944" s="160"/>
      <c r="I944" s="160"/>
      <c r="J944" s="160"/>
      <c r="K944" s="160"/>
      <c r="L944" s="160"/>
      <c r="M944" s="160"/>
    </row>
    <row r="945" spans="2:13">
      <c r="B945" s="396"/>
      <c r="C945" s="160"/>
      <c r="D945" s="160"/>
      <c r="E945" s="160"/>
      <c r="F945" s="160"/>
      <c r="G945" s="160"/>
      <c r="H945" s="160"/>
      <c r="I945" s="160"/>
      <c r="J945" s="160"/>
      <c r="K945" s="160"/>
      <c r="L945" s="160"/>
      <c r="M945" s="160"/>
    </row>
    <row r="946" spans="2:13">
      <c r="B946" s="396"/>
      <c r="C946" s="160"/>
      <c r="D946" s="160"/>
      <c r="E946" s="160"/>
      <c r="F946" s="160"/>
      <c r="G946" s="160"/>
      <c r="H946" s="160"/>
      <c r="I946" s="160"/>
      <c r="J946" s="160"/>
      <c r="K946" s="160"/>
      <c r="L946" s="160"/>
      <c r="M946" s="160"/>
    </row>
    <row r="947" spans="2:13">
      <c r="B947" s="396"/>
      <c r="C947" s="160"/>
      <c r="D947" s="160"/>
      <c r="E947" s="160"/>
      <c r="F947" s="160"/>
      <c r="G947" s="160"/>
      <c r="H947" s="160"/>
      <c r="I947" s="160"/>
      <c r="J947" s="160"/>
      <c r="K947" s="160"/>
      <c r="L947" s="160"/>
      <c r="M947" s="160"/>
    </row>
    <row r="948" spans="2:13">
      <c r="B948" s="396"/>
      <c r="C948" s="160"/>
      <c r="D948" s="160"/>
      <c r="E948" s="160"/>
      <c r="F948" s="160"/>
      <c r="G948" s="160"/>
      <c r="H948" s="160"/>
      <c r="I948" s="160"/>
      <c r="J948" s="160"/>
      <c r="K948" s="160"/>
      <c r="L948" s="160"/>
      <c r="M948" s="160"/>
    </row>
    <row r="949" spans="2:13">
      <c r="B949" s="396"/>
      <c r="C949" s="160"/>
      <c r="D949" s="160"/>
      <c r="E949" s="160"/>
      <c r="F949" s="160"/>
      <c r="G949" s="160"/>
      <c r="H949" s="160"/>
      <c r="I949" s="160"/>
      <c r="J949" s="160"/>
      <c r="K949" s="160"/>
      <c r="L949" s="160"/>
      <c r="M949" s="160"/>
    </row>
    <row r="950" spans="2:13">
      <c r="B950" s="396"/>
      <c r="C950" s="160"/>
      <c r="D950" s="160"/>
      <c r="E950" s="160"/>
      <c r="F950" s="160"/>
      <c r="G950" s="160"/>
      <c r="H950" s="160"/>
      <c r="I950" s="160"/>
      <c r="J950" s="160"/>
      <c r="K950" s="160"/>
      <c r="L950" s="160"/>
      <c r="M950" s="160"/>
    </row>
    <row r="951" spans="2:13">
      <c r="B951" s="396"/>
      <c r="C951" s="160"/>
      <c r="D951" s="160"/>
      <c r="E951" s="160"/>
      <c r="F951" s="160"/>
      <c r="G951" s="160"/>
      <c r="H951" s="160"/>
      <c r="I951" s="160"/>
      <c r="J951" s="160"/>
      <c r="K951" s="160"/>
      <c r="L951" s="160"/>
      <c r="M951" s="160"/>
    </row>
    <row r="952" spans="2:13">
      <c r="B952" s="396"/>
      <c r="C952" s="160"/>
      <c r="D952" s="160"/>
      <c r="E952" s="160"/>
      <c r="F952" s="160"/>
      <c r="G952" s="160"/>
      <c r="H952" s="160"/>
      <c r="I952" s="160"/>
      <c r="J952" s="160"/>
      <c r="K952" s="160"/>
      <c r="L952" s="160"/>
      <c r="M952" s="160"/>
    </row>
    <row r="953" spans="2:13">
      <c r="B953" s="396"/>
      <c r="C953" s="160"/>
      <c r="D953" s="160"/>
      <c r="E953" s="160"/>
      <c r="F953" s="160"/>
      <c r="G953" s="160"/>
      <c r="H953" s="160"/>
      <c r="I953" s="160"/>
      <c r="J953" s="160"/>
      <c r="K953" s="160"/>
      <c r="L953" s="160"/>
      <c r="M953" s="160"/>
    </row>
    <row r="954" spans="2:13">
      <c r="B954" s="396"/>
      <c r="C954" s="160"/>
      <c r="D954" s="160"/>
      <c r="E954" s="160"/>
      <c r="F954" s="160"/>
      <c r="G954" s="160"/>
      <c r="H954" s="160"/>
      <c r="I954" s="160"/>
      <c r="J954" s="160"/>
      <c r="K954" s="160"/>
      <c r="L954" s="160"/>
      <c r="M954" s="160"/>
    </row>
    <row r="955" spans="2:13">
      <c r="B955" s="396"/>
      <c r="C955" s="160"/>
      <c r="D955" s="160"/>
      <c r="E955" s="160"/>
      <c r="F955" s="160"/>
      <c r="G955" s="160"/>
      <c r="H955" s="160"/>
      <c r="I955" s="160"/>
      <c r="J955" s="160"/>
      <c r="K955" s="160"/>
      <c r="L955" s="160"/>
      <c r="M955" s="160"/>
    </row>
    <row r="956" spans="2:13">
      <c r="B956" s="396"/>
      <c r="C956" s="160"/>
      <c r="D956" s="160"/>
      <c r="E956" s="160"/>
      <c r="F956" s="160"/>
      <c r="G956" s="160"/>
      <c r="H956" s="160"/>
      <c r="I956" s="160"/>
      <c r="J956" s="160"/>
      <c r="K956" s="160"/>
      <c r="L956" s="160"/>
      <c r="M956" s="160"/>
    </row>
    <row r="957" spans="2:13">
      <c r="B957" s="396"/>
      <c r="C957" s="160"/>
      <c r="D957" s="160"/>
      <c r="E957" s="160"/>
      <c r="F957" s="160"/>
      <c r="G957" s="160"/>
      <c r="H957" s="160"/>
      <c r="I957" s="160"/>
      <c r="J957" s="160"/>
      <c r="K957" s="160"/>
      <c r="L957" s="160"/>
      <c r="M957" s="160"/>
    </row>
    <row r="958" spans="2:13">
      <c r="B958" s="396"/>
      <c r="C958" s="160"/>
      <c r="D958" s="160"/>
      <c r="E958" s="160"/>
      <c r="F958" s="160"/>
      <c r="G958" s="160"/>
      <c r="H958" s="160"/>
      <c r="I958" s="160"/>
      <c r="J958" s="160"/>
      <c r="K958" s="160"/>
      <c r="L958" s="160"/>
      <c r="M958" s="160"/>
    </row>
    <row r="959" spans="2:13">
      <c r="B959" s="396"/>
      <c r="C959" s="160"/>
      <c r="D959" s="160"/>
      <c r="E959" s="160"/>
      <c r="F959" s="160"/>
      <c r="G959" s="160"/>
      <c r="H959" s="160"/>
      <c r="I959" s="160"/>
      <c r="J959" s="160"/>
      <c r="K959" s="160"/>
      <c r="L959" s="160"/>
      <c r="M959" s="160"/>
    </row>
    <row r="960" spans="2:13">
      <c r="B960" s="396"/>
      <c r="C960" s="160"/>
      <c r="D960" s="160"/>
      <c r="E960" s="160"/>
      <c r="F960" s="160"/>
      <c r="G960" s="160"/>
      <c r="H960" s="160"/>
      <c r="I960" s="160"/>
      <c r="J960" s="160"/>
      <c r="K960" s="160"/>
      <c r="L960" s="160"/>
      <c r="M960" s="160"/>
    </row>
    <row r="961" spans="2:13">
      <c r="B961" s="396"/>
      <c r="C961" s="160"/>
      <c r="D961" s="160"/>
      <c r="E961" s="160"/>
      <c r="F961" s="160"/>
      <c r="G961" s="160"/>
      <c r="H961" s="160"/>
      <c r="I961" s="160"/>
      <c r="J961" s="160"/>
      <c r="K961" s="160"/>
      <c r="L961" s="160"/>
      <c r="M961" s="160"/>
    </row>
    <row r="962" spans="2:13">
      <c r="B962" s="396"/>
      <c r="C962" s="160"/>
      <c r="D962" s="160"/>
      <c r="E962" s="160"/>
      <c r="F962" s="160"/>
      <c r="G962" s="160"/>
      <c r="H962" s="160"/>
      <c r="I962" s="160"/>
      <c r="J962" s="160"/>
      <c r="K962" s="160"/>
      <c r="L962" s="160"/>
      <c r="M962" s="160"/>
    </row>
    <row r="963" spans="2:13">
      <c r="B963" s="396"/>
      <c r="C963" s="160"/>
      <c r="D963" s="160"/>
      <c r="E963" s="160"/>
      <c r="F963" s="160"/>
      <c r="G963" s="160"/>
      <c r="H963" s="160"/>
      <c r="I963" s="160"/>
      <c r="J963" s="160"/>
      <c r="K963" s="160"/>
      <c r="L963" s="160"/>
      <c r="M963" s="160"/>
    </row>
    <row r="964" spans="2:13">
      <c r="B964" s="396"/>
      <c r="C964" s="160"/>
      <c r="D964" s="160"/>
      <c r="E964" s="160"/>
      <c r="F964" s="160"/>
      <c r="G964" s="160"/>
      <c r="H964" s="160"/>
      <c r="I964" s="160"/>
      <c r="J964" s="160"/>
      <c r="K964" s="160"/>
      <c r="L964" s="160"/>
      <c r="M964" s="160"/>
    </row>
    <row r="965" spans="2:13">
      <c r="B965" s="396"/>
      <c r="C965" s="160"/>
      <c r="D965" s="160"/>
      <c r="E965" s="160"/>
      <c r="F965" s="160"/>
      <c r="G965" s="160"/>
      <c r="H965" s="160"/>
      <c r="I965" s="160"/>
      <c r="J965" s="160"/>
      <c r="K965" s="160"/>
      <c r="L965" s="160"/>
      <c r="M965" s="160"/>
    </row>
    <row r="966" spans="2:13">
      <c r="B966" s="396"/>
      <c r="C966" s="160"/>
      <c r="D966" s="160"/>
      <c r="E966" s="160"/>
      <c r="F966" s="160"/>
      <c r="G966" s="160"/>
      <c r="H966" s="160"/>
      <c r="I966" s="160"/>
      <c r="J966" s="160"/>
      <c r="K966" s="160"/>
      <c r="L966" s="160"/>
      <c r="M966" s="160"/>
    </row>
    <row r="967" spans="2:13">
      <c r="B967" s="396"/>
      <c r="C967" s="160"/>
      <c r="D967" s="160"/>
      <c r="E967" s="160"/>
      <c r="F967" s="160"/>
      <c r="G967" s="160"/>
      <c r="H967" s="160"/>
      <c r="I967" s="160"/>
      <c r="J967" s="160"/>
      <c r="K967" s="160"/>
      <c r="L967" s="160"/>
      <c r="M967" s="160"/>
    </row>
    <row r="968" spans="2:13">
      <c r="B968" s="396"/>
      <c r="C968" s="160"/>
      <c r="D968" s="160"/>
      <c r="E968" s="160"/>
      <c r="F968" s="160"/>
      <c r="G968" s="160"/>
      <c r="H968" s="160"/>
      <c r="I968" s="160"/>
      <c r="J968" s="160"/>
      <c r="K968" s="160"/>
      <c r="L968" s="160"/>
      <c r="M968" s="160"/>
    </row>
    <row r="969" spans="2:13">
      <c r="B969" s="396"/>
      <c r="C969" s="160"/>
      <c r="D969" s="160"/>
      <c r="E969" s="160"/>
      <c r="F969" s="160"/>
      <c r="G969" s="160"/>
      <c r="H969" s="160"/>
      <c r="I969" s="160"/>
      <c r="J969" s="160"/>
      <c r="K969" s="160"/>
      <c r="L969" s="160"/>
      <c r="M969" s="160"/>
    </row>
    <row r="970" spans="2:13">
      <c r="B970" s="396"/>
      <c r="C970" s="160"/>
      <c r="D970" s="160"/>
      <c r="E970" s="160"/>
      <c r="F970" s="160"/>
      <c r="G970" s="160"/>
      <c r="H970" s="160"/>
      <c r="I970" s="160"/>
      <c r="J970" s="160"/>
      <c r="K970" s="160"/>
      <c r="L970" s="160"/>
      <c r="M970" s="160"/>
    </row>
    <row r="971" spans="2:13">
      <c r="B971" s="396"/>
      <c r="C971" s="160"/>
      <c r="D971" s="160"/>
      <c r="E971" s="160"/>
      <c r="F971" s="160"/>
      <c r="G971" s="160"/>
      <c r="H971" s="160"/>
      <c r="I971" s="160"/>
      <c r="J971" s="160"/>
      <c r="K971" s="160"/>
      <c r="L971" s="160"/>
      <c r="M971" s="160"/>
    </row>
    <row r="972" spans="2:13">
      <c r="B972" s="396"/>
      <c r="C972" s="160"/>
      <c r="D972" s="160"/>
      <c r="E972" s="160"/>
      <c r="F972" s="160"/>
      <c r="G972" s="160"/>
      <c r="H972" s="160"/>
      <c r="I972" s="160"/>
      <c r="J972" s="160"/>
      <c r="K972" s="160"/>
      <c r="L972" s="160"/>
      <c r="M972" s="160"/>
    </row>
    <row r="973" spans="2:13">
      <c r="B973" s="396"/>
      <c r="C973" s="160"/>
      <c r="D973" s="160"/>
      <c r="E973" s="160"/>
      <c r="F973" s="160"/>
      <c r="G973" s="160"/>
      <c r="H973" s="160"/>
      <c r="I973" s="160"/>
      <c r="J973" s="160"/>
      <c r="K973" s="160"/>
      <c r="L973" s="160"/>
      <c r="M973" s="160"/>
    </row>
    <row r="974" spans="2:13">
      <c r="B974" s="396"/>
      <c r="C974" s="160"/>
      <c r="D974" s="160"/>
      <c r="E974" s="160"/>
      <c r="F974" s="160"/>
      <c r="G974" s="160"/>
      <c r="H974" s="160"/>
      <c r="I974" s="160"/>
      <c r="J974" s="160"/>
      <c r="K974" s="160"/>
      <c r="L974" s="160"/>
      <c r="M974" s="160"/>
    </row>
    <row r="975" spans="2:13">
      <c r="B975" s="396"/>
      <c r="C975" s="160"/>
      <c r="D975" s="160"/>
      <c r="E975" s="160"/>
      <c r="F975" s="160"/>
      <c r="G975" s="160"/>
      <c r="H975" s="160"/>
      <c r="I975" s="160"/>
      <c r="J975" s="160"/>
      <c r="K975" s="160"/>
      <c r="L975" s="160"/>
      <c r="M975" s="160"/>
    </row>
    <row r="976" spans="2:13">
      <c r="B976" s="396"/>
      <c r="C976" s="160"/>
      <c r="D976" s="160"/>
      <c r="E976" s="160"/>
      <c r="F976" s="160"/>
      <c r="G976" s="160"/>
      <c r="H976" s="160"/>
      <c r="I976" s="160"/>
      <c r="J976" s="160"/>
      <c r="K976" s="160"/>
      <c r="L976" s="160"/>
      <c r="M976" s="160"/>
    </row>
    <row r="977" spans="2:13">
      <c r="B977" s="396"/>
      <c r="C977" s="160"/>
      <c r="D977" s="160"/>
      <c r="E977" s="160"/>
      <c r="F977" s="160"/>
      <c r="G977" s="160"/>
      <c r="H977" s="160"/>
      <c r="I977" s="160"/>
      <c r="J977" s="160"/>
      <c r="K977" s="160"/>
      <c r="L977" s="160"/>
      <c r="M977" s="160"/>
    </row>
    <row r="978" spans="2:13">
      <c r="B978" s="396"/>
      <c r="C978" s="160"/>
      <c r="D978" s="160"/>
      <c r="E978" s="160"/>
      <c r="F978" s="160"/>
      <c r="G978" s="160"/>
      <c r="H978" s="160"/>
      <c r="I978" s="160"/>
      <c r="J978" s="160"/>
      <c r="K978" s="160"/>
      <c r="L978" s="160"/>
      <c r="M978" s="160"/>
    </row>
    <row r="979" spans="2:13">
      <c r="B979" s="396"/>
      <c r="C979" s="160"/>
      <c r="D979" s="160"/>
      <c r="E979" s="160"/>
      <c r="F979" s="160"/>
      <c r="G979" s="160"/>
      <c r="H979" s="160"/>
      <c r="I979" s="160"/>
      <c r="J979" s="160"/>
      <c r="K979" s="160"/>
      <c r="L979" s="160"/>
      <c r="M979" s="160"/>
    </row>
    <row r="980" spans="2:13">
      <c r="B980" s="396"/>
      <c r="C980" s="160"/>
      <c r="D980" s="160"/>
      <c r="E980" s="160"/>
      <c r="F980" s="160"/>
      <c r="G980" s="160"/>
      <c r="H980" s="160"/>
      <c r="I980" s="160"/>
      <c r="J980" s="160"/>
      <c r="K980" s="160"/>
      <c r="L980" s="160"/>
      <c r="M980" s="160"/>
    </row>
    <row r="981" spans="2:13">
      <c r="B981" s="396"/>
      <c r="C981" s="160"/>
      <c r="D981" s="160"/>
      <c r="E981" s="160"/>
      <c r="F981" s="160"/>
      <c r="G981" s="160"/>
      <c r="H981" s="160"/>
      <c r="I981" s="160"/>
      <c r="J981" s="160"/>
      <c r="K981" s="160"/>
      <c r="L981" s="160"/>
      <c r="M981" s="160"/>
    </row>
    <row r="982" spans="2:13">
      <c r="B982" s="396"/>
      <c r="C982" s="160"/>
      <c r="D982" s="160"/>
      <c r="E982" s="160"/>
      <c r="F982" s="160"/>
      <c r="G982" s="160"/>
      <c r="H982" s="160"/>
      <c r="I982" s="160"/>
      <c r="J982" s="160"/>
      <c r="K982" s="160"/>
      <c r="L982" s="160"/>
      <c r="M982" s="160"/>
    </row>
    <row r="983" spans="2:13">
      <c r="B983" s="396"/>
      <c r="C983" s="160"/>
      <c r="D983" s="160"/>
      <c r="E983" s="160"/>
      <c r="F983" s="160"/>
      <c r="G983" s="160"/>
      <c r="H983" s="160"/>
      <c r="I983" s="160"/>
      <c r="J983" s="160"/>
      <c r="K983" s="160"/>
      <c r="L983" s="160"/>
      <c r="M983" s="160"/>
    </row>
    <row r="984" spans="2:13">
      <c r="B984" s="396"/>
      <c r="C984" s="160"/>
      <c r="D984" s="160"/>
      <c r="E984" s="160"/>
      <c r="F984" s="160"/>
      <c r="G984" s="160"/>
      <c r="H984" s="160"/>
      <c r="I984" s="160"/>
      <c r="J984" s="160"/>
      <c r="K984" s="160"/>
      <c r="L984" s="160"/>
      <c r="M984" s="160"/>
    </row>
    <row r="985" spans="2:13">
      <c r="B985" s="396"/>
      <c r="C985" s="160"/>
      <c r="D985" s="160"/>
      <c r="E985" s="160"/>
      <c r="F985" s="160"/>
      <c r="G985" s="160"/>
      <c r="H985" s="160"/>
      <c r="I985" s="160"/>
      <c r="J985" s="160"/>
      <c r="K985" s="160"/>
      <c r="L985" s="160"/>
      <c r="M985" s="160"/>
    </row>
    <row r="986" spans="2:13">
      <c r="B986" s="396"/>
      <c r="C986" s="160"/>
      <c r="D986" s="160"/>
      <c r="E986" s="160"/>
      <c r="F986" s="160"/>
      <c r="G986" s="160"/>
      <c r="H986" s="160"/>
      <c r="I986" s="160"/>
      <c r="J986" s="160"/>
      <c r="K986" s="160"/>
      <c r="L986" s="160"/>
      <c r="M986" s="160"/>
    </row>
    <row r="987" spans="2:13">
      <c r="B987" s="396"/>
      <c r="C987" s="160"/>
      <c r="D987" s="160"/>
      <c r="E987" s="160"/>
      <c r="F987" s="160"/>
      <c r="G987" s="160"/>
      <c r="H987" s="160"/>
      <c r="I987" s="160"/>
      <c r="J987" s="160"/>
      <c r="K987" s="160"/>
      <c r="L987" s="160"/>
      <c r="M987" s="160"/>
    </row>
    <row r="988" spans="2:13">
      <c r="B988" s="396"/>
      <c r="C988" s="160"/>
      <c r="D988" s="160"/>
      <c r="E988" s="160"/>
      <c r="F988" s="160"/>
      <c r="G988" s="160"/>
      <c r="H988" s="160"/>
      <c r="I988" s="160"/>
      <c r="J988" s="160"/>
      <c r="K988" s="160"/>
      <c r="L988" s="160"/>
      <c r="M988" s="160"/>
    </row>
    <row r="989" spans="2:13">
      <c r="B989" s="396"/>
      <c r="C989" s="160"/>
      <c r="D989" s="160"/>
      <c r="E989" s="160"/>
      <c r="F989" s="160"/>
      <c r="G989" s="160"/>
      <c r="H989" s="160"/>
      <c r="I989" s="160"/>
      <c r="J989" s="160"/>
      <c r="K989" s="160"/>
      <c r="L989" s="160"/>
      <c r="M989" s="160"/>
    </row>
    <row r="990" spans="2:13">
      <c r="B990" s="396"/>
      <c r="C990" s="160"/>
      <c r="D990" s="160"/>
      <c r="E990" s="160"/>
      <c r="F990" s="160"/>
      <c r="G990" s="160"/>
      <c r="H990" s="160"/>
      <c r="I990" s="160"/>
      <c r="J990" s="160"/>
      <c r="K990" s="160"/>
      <c r="L990" s="160"/>
      <c r="M990" s="160"/>
    </row>
    <row r="991" spans="2:13">
      <c r="B991" s="396"/>
      <c r="C991" s="160"/>
      <c r="D991" s="160"/>
      <c r="E991" s="160"/>
      <c r="F991" s="160"/>
      <c r="G991" s="160"/>
      <c r="H991" s="160"/>
      <c r="I991" s="160"/>
      <c r="J991" s="160"/>
      <c r="K991" s="160"/>
      <c r="L991" s="160"/>
      <c r="M991" s="160"/>
    </row>
    <row r="992" spans="2:13">
      <c r="B992" s="396"/>
      <c r="C992" s="160"/>
      <c r="D992" s="160"/>
      <c r="E992" s="160"/>
      <c r="F992" s="160"/>
      <c r="G992" s="160"/>
      <c r="H992" s="160"/>
      <c r="I992" s="160"/>
      <c r="J992" s="160"/>
      <c r="K992" s="160"/>
      <c r="L992" s="160"/>
      <c r="M992" s="160"/>
    </row>
    <row r="993" spans="2:13">
      <c r="B993" s="396"/>
      <c r="C993" s="160"/>
      <c r="D993" s="160"/>
      <c r="E993" s="160"/>
      <c r="F993" s="160"/>
      <c r="G993" s="160"/>
      <c r="H993" s="160"/>
      <c r="I993" s="160"/>
      <c r="J993" s="160"/>
      <c r="K993" s="160"/>
      <c r="L993" s="160"/>
      <c r="M993" s="160"/>
    </row>
    <row r="994" spans="2:13">
      <c r="B994" s="396"/>
      <c r="C994" s="160"/>
      <c r="D994" s="160"/>
      <c r="E994" s="160"/>
      <c r="F994" s="160"/>
      <c r="G994" s="160"/>
      <c r="H994" s="160"/>
      <c r="I994" s="160"/>
      <c r="J994" s="160"/>
      <c r="K994" s="160"/>
      <c r="L994" s="160"/>
      <c r="M994" s="160"/>
    </row>
    <row r="995" spans="2:13">
      <c r="B995" s="396"/>
      <c r="C995" s="160"/>
      <c r="D995" s="160"/>
      <c r="E995" s="160"/>
      <c r="F995" s="160"/>
      <c r="G995" s="160"/>
      <c r="H995" s="160"/>
      <c r="I995" s="160"/>
      <c r="J995" s="160"/>
      <c r="K995" s="160"/>
      <c r="L995" s="160"/>
      <c r="M995" s="160"/>
    </row>
    <row r="996" spans="2:13">
      <c r="B996" s="396"/>
      <c r="C996" s="160"/>
      <c r="D996" s="160"/>
      <c r="E996" s="160"/>
      <c r="F996" s="160"/>
      <c r="G996" s="160"/>
      <c r="H996" s="160"/>
      <c r="I996" s="160"/>
      <c r="J996" s="160"/>
      <c r="K996" s="160"/>
      <c r="L996" s="160"/>
      <c r="M996" s="160"/>
    </row>
    <row r="997" spans="2:13">
      <c r="B997" s="396"/>
      <c r="C997" s="160"/>
      <c r="D997" s="160"/>
      <c r="E997" s="160"/>
      <c r="F997" s="160"/>
      <c r="G997" s="160"/>
      <c r="H997" s="160"/>
      <c r="I997" s="160"/>
      <c r="J997" s="160"/>
      <c r="K997" s="160"/>
      <c r="L997" s="160"/>
      <c r="M997" s="160"/>
    </row>
    <row r="998" spans="2:13">
      <c r="B998" s="396"/>
      <c r="C998" s="160"/>
      <c r="D998" s="160"/>
      <c r="E998" s="160"/>
      <c r="F998" s="160"/>
      <c r="G998" s="160"/>
      <c r="H998" s="160"/>
      <c r="I998" s="160"/>
      <c r="J998" s="160"/>
      <c r="K998" s="160"/>
      <c r="L998" s="160"/>
      <c r="M998" s="160"/>
    </row>
    <row r="999" spans="2:13">
      <c r="B999" s="396"/>
      <c r="C999" s="160"/>
      <c r="D999" s="160"/>
      <c r="E999" s="160"/>
      <c r="F999" s="160"/>
      <c r="G999" s="160"/>
      <c r="H999" s="160"/>
      <c r="I999" s="160"/>
      <c r="J999" s="160"/>
      <c r="K999" s="160"/>
      <c r="L999" s="160"/>
      <c r="M999" s="160"/>
    </row>
    <row r="1000" spans="2:13">
      <c r="B1000" s="396"/>
      <c r="C1000" s="160"/>
      <c r="D1000" s="160"/>
      <c r="E1000" s="160"/>
      <c r="F1000" s="160"/>
      <c r="G1000" s="160"/>
      <c r="H1000" s="160"/>
      <c r="I1000" s="160"/>
      <c r="J1000" s="160"/>
      <c r="K1000" s="160"/>
      <c r="L1000" s="160"/>
      <c r="M1000" s="160"/>
    </row>
    <row r="1001" spans="2:13">
      <c r="B1001" s="396"/>
      <c r="C1001" s="160"/>
      <c r="D1001" s="160"/>
      <c r="E1001" s="160"/>
      <c r="F1001" s="160"/>
      <c r="G1001" s="160"/>
      <c r="H1001" s="160"/>
      <c r="I1001" s="160"/>
      <c r="J1001" s="160"/>
      <c r="K1001" s="160"/>
      <c r="L1001" s="160"/>
      <c r="M1001" s="160"/>
    </row>
    <row r="1002" spans="2:13">
      <c r="B1002" s="396"/>
      <c r="C1002" s="160"/>
      <c r="D1002" s="160"/>
      <c r="E1002" s="160"/>
      <c r="F1002" s="160"/>
      <c r="G1002" s="160"/>
      <c r="H1002" s="160"/>
      <c r="I1002" s="160"/>
      <c r="J1002" s="160"/>
      <c r="K1002" s="160"/>
      <c r="L1002" s="160"/>
      <c r="M1002" s="160"/>
    </row>
    <row r="1003" spans="2:13">
      <c r="B1003" s="396"/>
      <c r="C1003" s="160"/>
      <c r="D1003" s="160"/>
      <c r="E1003" s="160"/>
      <c r="F1003" s="160"/>
      <c r="G1003" s="160"/>
      <c r="H1003" s="160"/>
      <c r="I1003" s="160"/>
      <c r="J1003" s="160"/>
      <c r="K1003" s="160"/>
      <c r="L1003" s="160"/>
      <c r="M1003" s="160"/>
    </row>
    <row r="1004" spans="2:13">
      <c r="B1004" s="396"/>
      <c r="C1004" s="160"/>
      <c r="D1004" s="160"/>
      <c r="E1004" s="160"/>
      <c r="F1004" s="160"/>
      <c r="G1004" s="160"/>
      <c r="H1004" s="160"/>
      <c r="I1004" s="160"/>
      <c r="J1004" s="160"/>
      <c r="K1004" s="160"/>
      <c r="L1004" s="160"/>
      <c r="M1004" s="160"/>
    </row>
    <row r="1005" spans="2:13">
      <c r="B1005" s="396"/>
      <c r="C1005" s="160"/>
      <c r="D1005" s="160"/>
      <c r="E1005" s="160"/>
      <c r="F1005" s="160"/>
      <c r="G1005" s="160"/>
      <c r="H1005" s="160"/>
      <c r="I1005" s="160"/>
      <c r="J1005" s="160"/>
      <c r="K1005" s="160"/>
      <c r="L1005" s="160"/>
      <c r="M1005" s="160"/>
    </row>
    <row r="1006" spans="2:13">
      <c r="B1006" s="396"/>
      <c r="C1006" s="160"/>
      <c r="D1006" s="160"/>
      <c r="E1006" s="160"/>
      <c r="F1006" s="160"/>
      <c r="G1006" s="160"/>
      <c r="H1006" s="160"/>
      <c r="I1006" s="160"/>
      <c r="J1006" s="160"/>
      <c r="K1006" s="160"/>
      <c r="L1006" s="160"/>
      <c r="M1006" s="160"/>
    </row>
    <row r="1007" spans="2:13">
      <c r="B1007" s="396"/>
      <c r="C1007" s="160"/>
      <c r="D1007" s="160"/>
      <c r="E1007" s="160"/>
      <c r="F1007" s="160"/>
      <c r="G1007" s="160"/>
      <c r="H1007" s="160"/>
      <c r="I1007" s="160"/>
      <c r="J1007" s="160"/>
      <c r="K1007" s="160"/>
      <c r="L1007" s="160"/>
      <c r="M1007" s="160"/>
    </row>
    <row r="1008" spans="2:13">
      <c r="B1008" s="396"/>
      <c r="C1008" s="160"/>
      <c r="D1008" s="160"/>
      <c r="E1008" s="160"/>
      <c r="F1008" s="160"/>
      <c r="G1008" s="160"/>
      <c r="H1008" s="160"/>
      <c r="I1008" s="160"/>
      <c r="J1008" s="160"/>
      <c r="K1008" s="160"/>
      <c r="L1008" s="160"/>
      <c r="M1008" s="160"/>
    </row>
    <row r="1009" spans="2:13">
      <c r="B1009" s="396"/>
      <c r="C1009" s="160"/>
      <c r="D1009" s="160"/>
      <c r="E1009" s="160"/>
      <c r="F1009" s="160"/>
      <c r="G1009" s="160"/>
      <c r="H1009" s="160"/>
      <c r="I1009" s="160"/>
      <c r="J1009" s="160"/>
      <c r="K1009" s="160"/>
      <c r="L1009" s="160"/>
      <c r="M1009" s="160"/>
    </row>
    <row r="1010" spans="2:13">
      <c r="B1010" s="396"/>
      <c r="C1010" s="160"/>
      <c r="D1010" s="160"/>
      <c r="E1010" s="160"/>
      <c r="F1010" s="160"/>
      <c r="G1010" s="160"/>
      <c r="H1010" s="160"/>
      <c r="I1010" s="160"/>
      <c r="J1010" s="160"/>
      <c r="K1010" s="160"/>
      <c r="L1010" s="160"/>
      <c r="M1010" s="160"/>
    </row>
    <row r="1011" spans="2:13">
      <c r="B1011" s="396"/>
      <c r="C1011" s="160"/>
      <c r="D1011" s="160"/>
      <c r="E1011" s="160"/>
      <c r="F1011" s="160"/>
      <c r="G1011" s="160"/>
      <c r="H1011" s="160"/>
      <c r="I1011" s="160"/>
      <c r="J1011" s="160"/>
      <c r="K1011" s="160"/>
      <c r="L1011" s="160"/>
      <c r="M1011" s="160"/>
    </row>
    <row r="1012" spans="2:13">
      <c r="B1012" s="396"/>
      <c r="C1012" s="160"/>
      <c r="D1012" s="160"/>
      <c r="E1012" s="160"/>
      <c r="F1012" s="160"/>
      <c r="G1012" s="160"/>
      <c r="H1012" s="160"/>
      <c r="I1012" s="160"/>
      <c r="J1012" s="160"/>
      <c r="K1012" s="160"/>
      <c r="L1012" s="160"/>
      <c r="M1012" s="160"/>
    </row>
    <row r="1013" spans="2:13">
      <c r="B1013" s="396"/>
      <c r="C1013" s="160"/>
      <c r="D1013" s="160"/>
      <c r="E1013" s="160"/>
      <c r="F1013" s="160"/>
      <c r="G1013" s="160"/>
      <c r="H1013" s="160"/>
      <c r="I1013" s="160"/>
      <c r="J1013" s="160"/>
      <c r="K1013" s="160"/>
      <c r="L1013" s="160"/>
      <c r="M1013" s="160"/>
    </row>
    <row r="1014" spans="2:13">
      <c r="B1014" s="396"/>
      <c r="C1014" s="160"/>
      <c r="D1014" s="160"/>
      <c r="E1014" s="160"/>
      <c r="F1014" s="160"/>
      <c r="G1014" s="160"/>
      <c r="H1014" s="160"/>
      <c r="I1014" s="160"/>
      <c r="J1014" s="160"/>
      <c r="K1014" s="160"/>
      <c r="L1014" s="160"/>
      <c r="M1014" s="160"/>
    </row>
    <row r="1015" spans="2:13">
      <c r="B1015" s="396"/>
      <c r="C1015" s="160"/>
      <c r="D1015" s="160"/>
      <c r="E1015" s="160"/>
      <c r="F1015" s="160"/>
      <c r="G1015" s="160"/>
      <c r="H1015" s="160"/>
      <c r="I1015" s="160"/>
      <c r="J1015" s="160"/>
      <c r="K1015" s="160"/>
      <c r="L1015" s="160"/>
      <c r="M1015" s="160"/>
    </row>
    <row r="1016" spans="2:13">
      <c r="B1016" s="396"/>
      <c r="C1016" s="160"/>
      <c r="D1016" s="160"/>
      <c r="E1016" s="160"/>
      <c r="F1016" s="160"/>
      <c r="G1016" s="160"/>
      <c r="H1016" s="160"/>
      <c r="I1016" s="160"/>
      <c r="J1016" s="160"/>
      <c r="K1016" s="160"/>
      <c r="L1016" s="160"/>
      <c r="M1016" s="160"/>
    </row>
    <row r="1017" spans="2:13">
      <c r="B1017" s="396"/>
      <c r="C1017" s="160"/>
      <c r="D1017" s="160"/>
      <c r="E1017" s="160"/>
      <c r="F1017" s="160"/>
      <c r="G1017" s="160"/>
      <c r="H1017" s="160"/>
      <c r="I1017" s="160"/>
      <c r="J1017" s="160"/>
      <c r="K1017" s="160"/>
      <c r="L1017" s="160"/>
      <c r="M1017" s="160"/>
    </row>
    <row r="1018" spans="2:13">
      <c r="B1018" s="396"/>
      <c r="C1018" s="160"/>
      <c r="D1018" s="160"/>
      <c r="E1018" s="160"/>
      <c r="F1018" s="160"/>
      <c r="G1018" s="160"/>
      <c r="H1018" s="160"/>
      <c r="I1018" s="160"/>
      <c r="J1018" s="160"/>
      <c r="K1018" s="160"/>
      <c r="L1018" s="160"/>
      <c r="M1018" s="160"/>
    </row>
    <row r="1019" spans="2:13">
      <c r="B1019" s="396"/>
      <c r="C1019" s="160"/>
      <c r="D1019" s="160"/>
      <c r="E1019" s="160"/>
      <c r="F1019" s="160"/>
      <c r="G1019" s="160"/>
      <c r="H1019" s="160"/>
      <c r="I1019" s="160"/>
      <c r="J1019" s="160"/>
      <c r="K1019" s="160"/>
      <c r="L1019" s="160"/>
      <c r="M1019" s="160"/>
    </row>
    <row r="1020" spans="2:13">
      <c r="B1020" s="396"/>
      <c r="C1020" s="160"/>
      <c r="D1020" s="160"/>
      <c r="E1020" s="160"/>
      <c r="F1020" s="160"/>
      <c r="G1020" s="160"/>
      <c r="H1020" s="160"/>
      <c r="I1020" s="160"/>
      <c r="J1020" s="160"/>
      <c r="K1020" s="160"/>
      <c r="L1020" s="160"/>
      <c r="M1020" s="160"/>
    </row>
    <row r="1021" spans="2:13">
      <c r="B1021" s="396"/>
      <c r="C1021" s="160"/>
      <c r="D1021" s="160"/>
      <c r="E1021" s="160"/>
      <c r="F1021" s="160"/>
      <c r="G1021" s="160"/>
      <c r="H1021" s="160"/>
      <c r="I1021" s="160"/>
      <c r="J1021" s="160"/>
      <c r="K1021" s="160"/>
      <c r="L1021" s="160"/>
      <c r="M1021" s="160"/>
    </row>
    <row r="1022" spans="2:13">
      <c r="B1022" s="396"/>
      <c r="C1022" s="160"/>
      <c r="D1022" s="160"/>
      <c r="E1022" s="160"/>
      <c r="F1022" s="160"/>
      <c r="G1022" s="160"/>
      <c r="H1022" s="160"/>
      <c r="I1022" s="160"/>
      <c r="J1022" s="160"/>
      <c r="K1022" s="160"/>
      <c r="L1022" s="160"/>
      <c r="M1022" s="160"/>
    </row>
    <row r="1023" spans="2:13">
      <c r="B1023" s="396"/>
      <c r="C1023" s="160"/>
      <c r="D1023" s="160"/>
      <c r="E1023" s="160"/>
      <c r="F1023" s="160"/>
      <c r="G1023" s="160"/>
      <c r="H1023" s="160"/>
      <c r="I1023" s="160"/>
      <c r="J1023" s="160"/>
      <c r="K1023" s="160"/>
      <c r="L1023" s="160"/>
      <c r="M1023" s="160"/>
    </row>
    <row r="1024" spans="2:13">
      <c r="B1024" s="396"/>
      <c r="C1024" s="160"/>
      <c r="D1024" s="160"/>
      <c r="E1024" s="160"/>
      <c r="F1024" s="160"/>
      <c r="G1024" s="160"/>
      <c r="H1024" s="160"/>
      <c r="I1024" s="160"/>
      <c r="J1024" s="160"/>
      <c r="K1024" s="160"/>
      <c r="L1024" s="160"/>
      <c r="M1024" s="160"/>
    </row>
    <row r="1025" spans="2:13">
      <c r="B1025" s="396"/>
      <c r="C1025" s="160"/>
      <c r="D1025" s="160"/>
      <c r="E1025" s="160"/>
      <c r="F1025" s="160"/>
      <c r="G1025" s="160"/>
      <c r="H1025" s="160"/>
      <c r="I1025" s="160"/>
      <c r="J1025" s="160"/>
      <c r="K1025" s="160"/>
      <c r="L1025" s="160"/>
      <c r="M1025" s="160"/>
    </row>
    <row r="1026" spans="2:13">
      <c r="B1026" s="396"/>
      <c r="C1026" s="160"/>
      <c r="D1026" s="160"/>
      <c r="E1026" s="160"/>
      <c r="F1026" s="160"/>
      <c r="G1026" s="160"/>
      <c r="H1026" s="160"/>
      <c r="I1026" s="160"/>
      <c r="J1026" s="160"/>
      <c r="K1026" s="160"/>
      <c r="L1026" s="160"/>
      <c r="M1026" s="160"/>
    </row>
    <row r="1027" spans="2:13">
      <c r="B1027" s="396"/>
      <c r="C1027" s="160"/>
      <c r="D1027" s="160"/>
      <c r="E1027" s="160"/>
      <c r="F1027" s="160"/>
      <c r="G1027" s="160"/>
      <c r="H1027" s="160"/>
      <c r="I1027" s="160"/>
      <c r="J1027" s="160"/>
      <c r="K1027" s="160"/>
      <c r="L1027" s="160"/>
      <c r="M1027" s="160"/>
    </row>
    <row r="1028" spans="2:13">
      <c r="B1028" s="396"/>
      <c r="C1028" s="160"/>
      <c r="D1028" s="160"/>
      <c r="E1028" s="160"/>
      <c r="F1028" s="160"/>
      <c r="G1028" s="160"/>
      <c r="H1028" s="160"/>
      <c r="I1028" s="160"/>
      <c r="J1028" s="160"/>
      <c r="K1028" s="160"/>
      <c r="L1028" s="160"/>
      <c r="M1028" s="160"/>
    </row>
    <row r="1029" spans="2:13">
      <c r="B1029" s="396"/>
      <c r="C1029" s="160"/>
      <c r="D1029" s="160"/>
      <c r="E1029" s="160"/>
      <c r="F1029" s="160"/>
      <c r="G1029" s="160"/>
      <c r="H1029" s="160"/>
      <c r="I1029" s="160"/>
      <c r="J1029" s="160"/>
      <c r="K1029" s="160"/>
      <c r="L1029" s="160"/>
      <c r="M1029" s="160"/>
    </row>
    <row r="1030" spans="2:13">
      <c r="B1030" s="396"/>
      <c r="C1030" s="160"/>
      <c r="D1030" s="160"/>
      <c r="E1030" s="160"/>
      <c r="F1030" s="160"/>
      <c r="G1030" s="160"/>
      <c r="H1030" s="160"/>
      <c r="I1030" s="160"/>
      <c r="J1030" s="160"/>
      <c r="K1030" s="160"/>
      <c r="L1030" s="160"/>
      <c r="M1030" s="160"/>
    </row>
    <row r="1031" spans="2:13">
      <c r="B1031" s="396"/>
      <c r="C1031" s="160"/>
      <c r="D1031" s="160"/>
      <c r="E1031" s="160"/>
      <c r="F1031" s="160"/>
      <c r="G1031" s="160"/>
      <c r="H1031" s="160"/>
      <c r="I1031" s="160"/>
      <c r="J1031" s="160"/>
      <c r="K1031" s="160"/>
      <c r="L1031" s="160"/>
      <c r="M1031" s="160"/>
    </row>
    <row r="1032" spans="2:13">
      <c r="B1032" s="396"/>
      <c r="C1032" s="160"/>
      <c r="D1032" s="160"/>
      <c r="E1032" s="160"/>
      <c r="F1032" s="160"/>
      <c r="G1032" s="160"/>
      <c r="H1032" s="160"/>
      <c r="I1032" s="160"/>
      <c r="J1032" s="160"/>
      <c r="K1032" s="160"/>
      <c r="L1032" s="160"/>
      <c r="M1032" s="160"/>
    </row>
    <row r="1033" spans="2:13">
      <c r="B1033" s="396"/>
      <c r="C1033" s="160"/>
      <c r="D1033" s="160"/>
      <c r="E1033" s="160"/>
      <c r="F1033" s="160"/>
      <c r="G1033" s="160"/>
      <c r="H1033" s="160"/>
      <c r="I1033" s="160"/>
      <c r="J1033" s="160"/>
      <c r="K1033" s="160"/>
      <c r="L1033" s="160"/>
      <c r="M1033" s="160"/>
    </row>
    <row r="1034" spans="2:13">
      <c r="B1034" s="396"/>
      <c r="C1034" s="160"/>
      <c r="D1034" s="160"/>
      <c r="E1034" s="160"/>
      <c r="F1034" s="160"/>
      <c r="G1034" s="160"/>
      <c r="H1034" s="160"/>
      <c r="I1034" s="160"/>
      <c r="J1034" s="160"/>
      <c r="K1034" s="160"/>
      <c r="L1034" s="160"/>
      <c r="M1034" s="160"/>
    </row>
    <row r="1035" spans="2:13">
      <c r="B1035" s="396"/>
      <c r="C1035" s="160"/>
      <c r="D1035" s="160"/>
      <c r="E1035" s="160"/>
      <c r="F1035" s="160"/>
      <c r="G1035" s="160"/>
      <c r="H1035" s="160"/>
      <c r="I1035" s="160"/>
      <c r="J1035" s="160"/>
      <c r="K1035" s="160"/>
      <c r="L1035" s="160"/>
      <c r="M1035" s="160"/>
    </row>
    <row r="1036" spans="2:13">
      <c r="B1036" s="396"/>
      <c r="C1036" s="160"/>
      <c r="D1036" s="160"/>
      <c r="E1036" s="160"/>
      <c r="F1036" s="160"/>
      <c r="G1036" s="160"/>
      <c r="H1036" s="160"/>
      <c r="I1036" s="160"/>
      <c r="J1036" s="160"/>
      <c r="K1036" s="160"/>
      <c r="L1036" s="160"/>
      <c r="M1036" s="160"/>
    </row>
    <row r="1037" spans="2:13">
      <c r="B1037" s="396"/>
      <c r="C1037" s="160"/>
      <c r="D1037" s="160"/>
      <c r="E1037" s="160"/>
      <c r="F1037" s="160"/>
      <c r="G1037" s="160"/>
      <c r="H1037" s="160"/>
      <c r="I1037" s="160"/>
      <c r="J1037" s="160"/>
      <c r="K1037" s="160"/>
      <c r="L1037" s="160"/>
      <c r="M1037" s="160"/>
    </row>
    <row r="1038" spans="2:13">
      <c r="B1038" s="396"/>
      <c r="C1038" s="160"/>
      <c r="D1038" s="160"/>
      <c r="E1038" s="160"/>
      <c r="F1038" s="160"/>
      <c r="G1038" s="160"/>
      <c r="H1038" s="160"/>
      <c r="I1038" s="160"/>
      <c r="J1038" s="160"/>
      <c r="K1038" s="160"/>
      <c r="L1038" s="160"/>
      <c r="M1038" s="160"/>
    </row>
    <row r="1039" spans="2:13">
      <c r="B1039" s="396"/>
      <c r="C1039" s="160"/>
      <c r="D1039" s="160"/>
      <c r="E1039" s="160"/>
      <c r="F1039" s="160"/>
      <c r="G1039" s="160"/>
      <c r="H1039" s="160"/>
      <c r="I1039" s="160"/>
      <c r="J1039" s="160"/>
      <c r="K1039" s="160"/>
      <c r="L1039" s="160"/>
      <c r="M1039" s="160"/>
    </row>
    <row r="1040" spans="2:13">
      <c r="B1040" s="396"/>
      <c r="C1040" s="160"/>
      <c r="D1040" s="160"/>
      <c r="E1040" s="160"/>
      <c r="F1040" s="160"/>
      <c r="G1040" s="160"/>
      <c r="H1040" s="160"/>
      <c r="I1040" s="160"/>
      <c r="J1040" s="160"/>
      <c r="K1040" s="160"/>
      <c r="L1040" s="160"/>
      <c r="M1040" s="160"/>
    </row>
    <row r="1041" spans="2:13">
      <c r="B1041" s="396"/>
      <c r="C1041" s="160"/>
      <c r="D1041" s="160"/>
      <c r="E1041" s="160"/>
      <c r="F1041" s="160"/>
      <c r="G1041" s="160"/>
      <c r="H1041" s="160"/>
      <c r="I1041" s="160"/>
      <c r="J1041" s="160"/>
      <c r="K1041" s="160"/>
      <c r="L1041" s="160"/>
      <c r="M1041" s="160"/>
    </row>
    <row r="1042" spans="2:13">
      <c r="B1042" s="396"/>
      <c r="C1042" s="160"/>
      <c r="D1042" s="160"/>
      <c r="E1042" s="160"/>
      <c r="F1042" s="160"/>
      <c r="G1042" s="160"/>
      <c r="H1042" s="160"/>
      <c r="I1042" s="160"/>
      <c r="J1042" s="160"/>
      <c r="K1042" s="160"/>
      <c r="L1042" s="160"/>
      <c r="M1042" s="160"/>
    </row>
    <row r="1043" spans="2:13">
      <c r="B1043" s="396"/>
      <c r="C1043" s="160"/>
      <c r="D1043" s="160"/>
      <c r="E1043" s="160"/>
      <c r="F1043" s="160"/>
      <c r="G1043" s="160"/>
      <c r="H1043" s="160"/>
      <c r="I1043" s="160"/>
      <c r="J1043" s="160"/>
      <c r="K1043" s="160"/>
      <c r="L1043" s="160"/>
      <c r="M1043" s="160"/>
    </row>
    <row r="1044" spans="2:13">
      <c r="B1044" s="396"/>
      <c r="C1044" s="160"/>
      <c r="D1044" s="160"/>
      <c r="E1044" s="160"/>
      <c r="F1044" s="160"/>
      <c r="G1044" s="160"/>
      <c r="H1044" s="160"/>
      <c r="I1044" s="160"/>
      <c r="J1044" s="160"/>
      <c r="K1044" s="160"/>
      <c r="L1044" s="160"/>
      <c r="M1044" s="160"/>
    </row>
    <row r="1045" spans="2:13">
      <c r="B1045" s="396"/>
      <c r="C1045" s="160"/>
      <c r="D1045" s="160"/>
      <c r="E1045" s="160"/>
      <c r="F1045" s="160"/>
      <c r="G1045" s="160"/>
      <c r="H1045" s="160"/>
      <c r="I1045" s="160"/>
      <c r="J1045" s="160"/>
      <c r="K1045" s="160"/>
      <c r="L1045" s="160"/>
      <c r="M1045" s="160"/>
    </row>
    <row r="1046" spans="2:13">
      <c r="B1046" s="396"/>
      <c r="C1046" s="160"/>
      <c r="D1046" s="160"/>
      <c r="E1046" s="160"/>
      <c r="F1046" s="160"/>
      <c r="G1046" s="160"/>
      <c r="H1046" s="160"/>
      <c r="I1046" s="160"/>
      <c r="J1046" s="160"/>
      <c r="K1046" s="160"/>
      <c r="L1046" s="160"/>
      <c r="M1046" s="160"/>
    </row>
    <row r="1047" spans="2:13">
      <c r="B1047" s="396"/>
      <c r="C1047" s="160"/>
      <c r="D1047" s="160"/>
      <c r="E1047" s="160"/>
      <c r="F1047" s="160"/>
      <c r="G1047" s="160"/>
      <c r="H1047" s="160"/>
      <c r="I1047" s="160"/>
      <c r="J1047" s="160"/>
      <c r="K1047" s="160"/>
      <c r="L1047" s="160"/>
      <c r="M1047" s="160"/>
    </row>
    <row r="1048" spans="2:13">
      <c r="B1048" s="396"/>
      <c r="C1048" s="160"/>
      <c r="D1048" s="160"/>
      <c r="E1048" s="160"/>
      <c r="F1048" s="160"/>
      <c r="G1048" s="160"/>
      <c r="H1048" s="160"/>
      <c r="I1048" s="160"/>
      <c r="J1048" s="160"/>
      <c r="K1048" s="160"/>
      <c r="L1048" s="160"/>
      <c r="M1048" s="160"/>
    </row>
    <row r="1049" spans="2:13">
      <c r="B1049" s="396"/>
      <c r="C1049" s="160"/>
      <c r="D1049" s="160"/>
      <c r="E1049" s="160"/>
      <c r="F1049" s="160"/>
      <c r="G1049" s="160"/>
      <c r="H1049" s="160"/>
      <c r="I1049" s="160"/>
      <c r="J1049" s="160"/>
      <c r="K1049" s="160"/>
      <c r="L1049" s="160"/>
      <c r="M1049" s="160"/>
    </row>
    <row r="1050" spans="2:13">
      <c r="B1050" s="396"/>
      <c r="C1050" s="160"/>
      <c r="D1050" s="160"/>
      <c r="E1050" s="160"/>
      <c r="F1050" s="160"/>
      <c r="G1050" s="160"/>
      <c r="H1050" s="160"/>
      <c r="I1050" s="160"/>
      <c r="J1050" s="160"/>
      <c r="K1050" s="160"/>
      <c r="L1050" s="160"/>
      <c r="M1050" s="160"/>
    </row>
    <row r="1051" spans="2:13">
      <c r="B1051" s="396"/>
      <c r="C1051" s="160"/>
      <c r="D1051" s="160"/>
      <c r="E1051" s="160"/>
      <c r="F1051" s="160"/>
      <c r="G1051" s="160"/>
      <c r="H1051" s="160"/>
      <c r="I1051" s="160"/>
      <c r="J1051" s="160"/>
      <c r="K1051" s="160"/>
      <c r="L1051" s="160"/>
      <c r="M1051" s="160"/>
    </row>
    <row r="1052" spans="2:13">
      <c r="B1052" s="396"/>
      <c r="C1052" s="160"/>
      <c r="D1052" s="160"/>
      <c r="E1052" s="160"/>
      <c r="F1052" s="160"/>
      <c r="G1052" s="160"/>
      <c r="H1052" s="160"/>
      <c r="I1052" s="160"/>
      <c r="J1052" s="160"/>
      <c r="K1052" s="160"/>
      <c r="L1052" s="160"/>
      <c r="M1052" s="160"/>
    </row>
    <row r="1053" spans="2:13">
      <c r="B1053" s="396"/>
      <c r="C1053" s="160"/>
      <c r="D1053" s="160"/>
      <c r="E1053" s="160"/>
      <c r="F1053" s="160"/>
      <c r="G1053" s="160"/>
      <c r="H1053" s="160"/>
      <c r="I1053" s="160"/>
      <c r="J1053" s="160"/>
      <c r="K1053" s="160"/>
      <c r="L1053" s="160"/>
      <c r="M1053" s="160"/>
    </row>
    <row r="1054" spans="2:13">
      <c r="B1054" s="396"/>
      <c r="C1054" s="160"/>
      <c r="D1054" s="160"/>
      <c r="E1054" s="160"/>
      <c r="F1054" s="160"/>
      <c r="G1054" s="160"/>
      <c r="H1054" s="160"/>
      <c r="I1054" s="160"/>
      <c r="J1054" s="160"/>
      <c r="K1054" s="160"/>
      <c r="L1054" s="160"/>
      <c r="M1054" s="160"/>
    </row>
    <row r="1055" spans="2:13">
      <c r="B1055" s="396"/>
      <c r="C1055" s="160"/>
      <c r="D1055" s="160"/>
      <c r="E1055" s="160"/>
      <c r="F1055" s="160"/>
      <c r="G1055" s="160"/>
      <c r="H1055" s="160"/>
      <c r="I1055" s="160"/>
      <c r="J1055" s="160"/>
      <c r="K1055" s="160"/>
      <c r="L1055" s="160"/>
      <c r="M1055" s="160"/>
    </row>
    <row r="1056" spans="2:13">
      <c r="B1056" s="396"/>
      <c r="C1056" s="160"/>
      <c r="D1056" s="160"/>
      <c r="E1056" s="160"/>
      <c r="F1056" s="160"/>
      <c r="G1056" s="160"/>
      <c r="H1056" s="160"/>
      <c r="I1056" s="160"/>
      <c r="J1056" s="160"/>
      <c r="K1056" s="160"/>
      <c r="L1056" s="160"/>
      <c r="M1056" s="160"/>
    </row>
    <row r="1057" spans="2:13">
      <c r="B1057" s="396"/>
      <c r="C1057" s="160"/>
      <c r="D1057" s="160"/>
      <c r="E1057" s="160"/>
      <c r="F1057" s="160"/>
      <c r="G1057" s="160"/>
      <c r="H1057" s="160"/>
      <c r="I1057" s="160"/>
      <c r="J1057" s="160"/>
      <c r="K1057" s="160"/>
      <c r="L1057" s="160"/>
      <c r="M1057" s="160"/>
    </row>
    <row r="1058" spans="2:13">
      <c r="B1058" s="396"/>
      <c r="C1058" s="160"/>
      <c r="D1058" s="160"/>
      <c r="E1058" s="160"/>
      <c r="F1058" s="160"/>
      <c r="G1058" s="160"/>
      <c r="H1058" s="160"/>
      <c r="I1058" s="160"/>
      <c r="J1058" s="160"/>
      <c r="K1058" s="160"/>
      <c r="L1058" s="160"/>
      <c r="M1058" s="160"/>
    </row>
    <row r="1059" spans="2:13">
      <c r="B1059" s="396"/>
      <c r="C1059" s="160"/>
      <c r="D1059" s="160"/>
      <c r="E1059" s="160"/>
      <c r="F1059" s="160"/>
      <c r="G1059" s="160"/>
      <c r="H1059" s="160"/>
      <c r="I1059" s="160"/>
      <c r="J1059" s="160"/>
      <c r="K1059" s="160"/>
      <c r="L1059" s="160"/>
      <c r="M1059" s="160"/>
    </row>
    <row r="1060" spans="2:13">
      <c r="B1060" s="396"/>
      <c r="C1060" s="160"/>
      <c r="D1060" s="160"/>
      <c r="E1060" s="160"/>
      <c r="F1060" s="160"/>
      <c r="G1060" s="160"/>
      <c r="H1060" s="160"/>
      <c r="I1060" s="160"/>
      <c r="J1060" s="160"/>
      <c r="K1060" s="160"/>
      <c r="L1060" s="160"/>
      <c r="M1060" s="160"/>
    </row>
    <row r="1061" spans="2:13">
      <c r="B1061" s="396"/>
      <c r="C1061" s="160"/>
      <c r="D1061" s="160"/>
      <c r="E1061" s="160"/>
      <c r="F1061" s="160"/>
      <c r="G1061" s="160"/>
      <c r="H1061" s="160"/>
      <c r="I1061" s="160"/>
      <c r="J1061" s="160"/>
      <c r="K1061" s="160"/>
      <c r="L1061" s="160"/>
      <c r="M1061" s="160"/>
    </row>
    <row r="1062" spans="2:13">
      <c r="B1062" s="396"/>
      <c r="C1062" s="160"/>
      <c r="D1062" s="160"/>
      <c r="E1062" s="160"/>
      <c r="F1062" s="160"/>
      <c r="G1062" s="160"/>
      <c r="H1062" s="160"/>
      <c r="I1062" s="160"/>
      <c r="J1062" s="160"/>
      <c r="K1062" s="160"/>
      <c r="L1062" s="160"/>
      <c r="M1062" s="160"/>
    </row>
    <row r="1063" spans="2:13">
      <c r="B1063" s="396"/>
      <c r="C1063" s="160"/>
      <c r="D1063" s="160"/>
      <c r="E1063" s="160"/>
      <c r="F1063" s="160"/>
      <c r="G1063" s="160"/>
      <c r="H1063" s="160"/>
      <c r="I1063" s="160"/>
      <c r="J1063" s="160"/>
      <c r="K1063" s="160"/>
      <c r="L1063" s="160"/>
      <c r="M1063" s="160"/>
    </row>
    <row r="1064" spans="2:13">
      <c r="B1064" s="396"/>
      <c r="C1064" s="160"/>
      <c r="D1064" s="160"/>
      <c r="E1064" s="160"/>
      <c r="F1064" s="160"/>
      <c r="G1064" s="160"/>
      <c r="H1064" s="160"/>
      <c r="I1064" s="160"/>
      <c r="J1064" s="160"/>
      <c r="K1064" s="160"/>
      <c r="L1064" s="160"/>
      <c r="M1064" s="160"/>
    </row>
    <row r="1065" spans="2:13">
      <c r="B1065" s="396"/>
      <c r="C1065" s="160"/>
      <c r="D1065" s="160"/>
      <c r="E1065" s="160"/>
      <c r="F1065" s="160"/>
      <c r="G1065" s="160"/>
      <c r="H1065" s="160"/>
      <c r="I1065" s="160"/>
      <c r="J1065" s="160"/>
      <c r="K1065" s="160"/>
      <c r="L1065" s="160"/>
      <c r="M1065" s="160"/>
    </row>
    <row r="1066" spans="2:13">
      <c r="B1066" s="396"/>
      <c r="C1066" s="160"/>
      <c r="D1066" s="160"/>
      <c r="E1066" s="160"/>
      <c r="F1066" s="160"/>
      <c r="G1066" s="160"/>
      <c r="H1066" s="160"/>
      <c r="I1066" s="160"/>
      <c r="J1066" s="160"/>
      <c r="K1066" s="160"/>
      <c r="L1066" s="160"/>
      <c r="M1066" s="160"/>
    </row>
    <row r="1067" spans="2:13">
      <c r="B1067" s="396"/>
      <c r="C1067" s="160"/>
      <c r="D1067" s="160"/>
      <c r="E1067" s="160"/>
      <c r="F1067" s="160"/>
      <c r="G1067" s="160"/>
      <c r="H1067" s="160"/>
      <c r="I1067" s="160"/>
      <c r="J1067" s="160"/>
      <c r="K1067" s="160"/>
      <c r="L1067" s="160"/>
      <c r="M1067" s="160"/>
    </row>
    <row r="1068" spans="2:13">
      <c r="B1068" s="396"/>
      <c r="C1068" s="160"/>
      <c r="D1068" s="160"/>
      <c r="E1068" s="160"/>
      <c r="F1068" s="160"/>
      <c r="G1068" s="160"/>
      <c r="H1068" s="160"/>
      <c r="I1068" s="160"/>
      <c r="J1068" s="160"/>
      <c r="K1068" s="160"/>
      <c r="L1068" s="160"/>
      <c r="M1068" s="160"/>
    </row>
    <row r="1069" spans="2:13">
      <c r="B1069" s="396"/>
      <c r="C1069" s="160"/>
      <c r="D1069" s="160"/>
      <c r="E1069" s="160"/>
      <c r="F1069" s="160"/>
      <c r="G1069" s="160"/>
      <c r="H1069" s="160"/>
      <c r="I1069" s="160"/>
      <c r="J1069" s="160"/>
      <c r="K1069" s="160"/>
      <c r="L1069" s="160"/>
      <c r="M1069" s="160"/>
    </row>
    <row r="1070" spans="2:13">
      <c r="B1070" s="396"/>
      <c r="C1070" s="160"/>
      <c r="D1070" s="160"/>
      <c r="E1070" s="160"/>
      <c r="F1070" s="160"/>
      <c r="G1070" s="160"/>
      <c r="H1070" s="160"/>
      <c r="I1070" s="160"/>
      <c r="J1070" s="160"/>
      <c r="K1070" s="160"/>
      <c r="L1070" s="160"/>
      <c r="M1070" s="160"/>
    </row>
    <row r="1071" spans="2:13">
      <c r="B1071" s="396"/>
      <c r="C1071" s="160"/>
      <c r="D1071" s="160"/>
      <c r="E1071" s="160"/>
      <c r="F1071" s="160"/>
      <c r="G1071" s="160"/>
      <c r="H1071" s="160"/>
      <c r="I1071" s="160"/>
      <c r="J1071" s="160"/>
      <c r="K1071" s="160"/>
      <c r="L1071" s="160"/>
      <c r="M1071" s="160"/>
    </row>
    <row r="1072" spans="2:13">
      <c r="B1072" s="396"/>
      <c r="C1072" s="160"/>
      <c r="D1072" s="160"/>
      <c r="E1072" s="160"/>
      <c r="F1072" s="160"/>
      <c r="G1072" s="160"/>
      <c r="H1072" s="160"/>
      <c r="I1072" s="160"/>
      <c r="J1072" s="160"/>
      <c r="K1072" s="160"/>
      <c r="L1072" s="160"/>
      <c r="M1072" s="160"/>
    </row>
    <row r="1073" spans="2:13">
      <c r="B1073" s="396"/>
      <c r="C1073" s="160"/>
      <c r="D1073" s="160"/>
      <c r="E1073" s="160"/>
      <c r="F1073" s="160"/>
      <c r="G1073" s="160"/>
      <c r="H1073" s="160"/>
      <c r="I1073" s="160"/>
      <c r="J1073" s="160"/>
      <c r="K1073" s="160"/>
      <c r="L1073" s="160"/>
      <c r="M1073" s="160"/>
    </row>
    <row r="1074" spans="2:13">
      <c r="B1074" s="396"/>
      <c r="C1074" s="160"/>
      <c r="D1074" s="160"/>
      <c r="E1074" s="160"/>
      <c r="F1074" s="160"/>
      <c r="G1074" s="160"/>
      <c r="H1074" s="160"/>
      <c r="I1074" s="160"/>
      <c r="J1074" s="160"/>
      <c r="K1074" s="160"/>
      <c r="L1074" s="160"/>
      <c r="M1074" s="160"/>
    </row>
    <row r="1075" spans="2:13">
      <c r="B1075" s="396"/>
      <c r="C1075" s="160"/>
      <c r="D1075" s="160"/>
      <c r="E1075" s="160"/>
      <c r="F1075" s="160"/>
      <c r="G1075" s="160"/>
      <c r="H1075" s="160"/>
      <c r="I1075" s="160"/>
      <c r="J1075" s="160"/>
      <c r="K1075" s="160"/>
      <c r="L1075" s="160"/>
      <c r="M1075" s="160"/>
    </row>
    <row r="1076" spans="2:13">
      <c r="B1076" s="396"/>
      <c r="C1076" s="160"/>
      <c r="D1076" s="160"/>
      <c r="E1076" s="160"/>
      <c r="F1076" s="160"/>
      <c r="G1076" s="160"/>
      <c r="H1076" s="160"/>
      <c r="I1076" s="160"/>
      <c r="J1076" s="160"/>
      <c r="K1076" s="160"/>
      <c r="L1076" s="160"/>
      <c r="M1076" s="160"/>
    </row>
    <row r="1077" spans="2:13">
      <c r="B1077" s="396"/>
      <c r="C1077" s="160"/>
      <c r="D1077" s="160"/>
      <c r="E1077" s="160"/>
      <c r="F1077" s="160"/>
      <c r="G1077" s="160"/>
      <c r="H1077" s="160"/>
      <c r="I1077" s="160"/>
      <c r="J1077" s="160"/>
      <c r="K1077" s="160"/>
      <c r="L1077" s="160"/>
      <c r="M1077" s="160"/>
    </row>
    <row r="1078" spans="2:13">
      <c r="B1078" s="396"/>
      <c r="C1078" s="160"/>
      <c r="D1078" s="160"/>
      <c r="E1078" s="160"/>
      <c r="F1078" s="160"/>
      <c r="G1078" s="160"/>
      <c r="H1078" s="160"/>
      <c r="I1078" s="160"/>
      <c r="J1078" s="160"/>
      <c r="K1078" s="160"/>
      <c r="L1078" s="160"/>
      <c r="M1078" s="160"/>
    </row>
    <row r="1079" spans="2:13">
      <c r="B1079" s="396"/>
      <c r="C1079" s="160"/>
      <c r="D1079" s="160"/>
      <c r="E1079" s="160"/>
      <c r="F1079" s="160"/>
      <c r="G1079" s="160"/>
      <c r="H1079" s="160"/>
      <c r="I1079" s="160"/>
      <c r="J1079" s="160"/>
      <c r="K1079" s="160"/>
      <c r="L1079" s="160"/>
      <c r="M1079" s="160"/>
    </row>
    <row r="1080" spans="2:13">
      <c r="B1080" s="396"/>
      <c r="C1080" s="160"/>
      <c r="D1080" s="160"/>
      <c r="E1080" s="160"/>
      <c r="F1080" s="160"/>
      <c r="G1080" s="160"/>
      <c r="H1080" s="160"/>
      <c r="I1080" s="160"/>
      <c r="J1080" s="160"/>
      <c r="K1080" s="160"/>
      <c r="L1080" s="160"/>
      <c r="M1080" s="160"/>
    </row>
    <row r="1081" spans="2:13">
      <c r="B1081" s="396"/>
      <c r="C1081" s="160"/>
      <c r="D1081" s="160"/>
      <c r="E1081" s="160"/>
      <c r="F1081" s="160"/>
      <c r="G1081" s="160"/>
      <c r="H1081" s="160"/>
      <c r="I1081" s="160"/>
      <c r="J1081" s="160"/>
      <c r="K1081" s="160"/>
      <c r="L1081" s="160"/>
      <c r="M1081" s="160"/>
    </row>
    <row r="1082" spans="2:13">
      <c r="B1082" s="396"/>
      <c r="C1082" s="160"/>
      <c r="D1082" s="160"/>
      <c r="E1082" s="160"/>
      <c r="F1082" s="160"/>
      <c r="G1082" s="160"/>
      <c r="H1082" s="160"/>
      <c r="I1082" s="160"/>
      <c r="J1082" s="160"/>
      <c r="K1082" s="160"/>
      <c r="L1082" s="160"/>
      <c r="M1082" s="160"/>
    </row>
    <row r="1083" spans="2:13">
      <c r="B1083" s="396"/>
      <c r="C1083" s="160"/>
      <c r="D1083" s="160"/>
      <c r="E1083" s="160"/>
      <c r="F1083" s="160"/>
      <c r="G1083" s="160"/>
      <c r="H1083" s="160"/>
      <c r="I1083" s="160"/>
      <c r="J1083" s="160"/>
      <c r="K1083" s="160"/>
      <c r="L1083" s="160"/>
      <c r="M1083" s="160"/>
    </row>
    <row r="1084" spans="2:13">
      <c r="B1084" s="396"/>
      <c r="C1084" s="160"/>
      <c r="D1084" s="160"/>
      <c r="E1084" s="160"/>
      <c r="F1084" s="160"/>
      <c r="G1084" s="160"/>
      <c r="H1084" s="160"/>
      <c r="I1084" s="160"/>
      <c r="J1084" s="160"/>
      <c r="K1084" s="160"/>
      <c r="L1084" s="160"/>
      <c r="M1084" s="160"/>
    </row>
    <row r="1085" spans="2:13">
      <c r="B1085" s="396"/>
      <c r="C1085" s="160"/>
      <c r="D1085" s="160"/>
      <c r="E1085" s="160"/>
      <c r="F1085" s="160"/>
      <c r="G1085" s="160"/>
      <c r="H1085" s="160"/>
      <c r="I1085" s="160"/>
      <c r="J1085" s="160"/>
      <c r="K1085" s="160"/>
      <c r="L1085" s="160"/>
      <c r="M1085" s="160"/>
    </row>
    <row r="1086" spans="2:13">
      <c r="B1086" s="396"/>
      <c r="C1086" s="160"/>
      <c r="D1086" s="160"/>
      <c r="E1086" s="160"/>
      <c r="F1086" s="160"/>
      <c r="G1086" s="160"/>
      <c r="H1086" s="160"/>
      <c r="I1086" s="160"/>
      <c r="J1086" s="160"/>
      <c r="K1086" s="160"/>
      <c r="L1086" s="160"/>
      <c r="M1086" s="160"/>
    </row>
    <row r="1087" spans="2:13">
      <c r="B1087" s="396"/>
      <c r="C1087" s="160"/>
      <c r="D1087" s="160"/>
      <c r="E1087" s="160"/>
      <c r="F1087" s="160"/>
      <c r="G1087" s="160"/>
      <c r="H1087" s="160"/>
      <c r="I1087" s="160"/>
      <c r="J1087" s="160"/>
      <c r="K1087" s="160"/>
      <c r="L1087" s="160"/>
      <c r="M1087" s="160"/>
    </row>
    <row r="1088" spans="2:13">
      <c r="B1088" s="396"/>
      <c r="C1088" s="160"/>
      <c r="D1088" s="160"/>
      <c r="E1088" s="160"/>
      <c r="F1088" s="160"/>
      <c r="G1088" s="160"/>
      <c r="H1088" s="160"/>
      <c r="I1088" s="160"/>
      <c r="J1088" s="160"/>
      <c r="K1088" s="160"/>
      <c r="L1088" s="160"/>
      <c r="M1088" s="160"/>
    </row>
    <row r="1089" spans="2:13">
      <c r="B1089" s="396"/>
      <c r="C1089" s="160"/>
      <c r="D1089" s="160"/>
      <c r="E1089" s="160"/>
      <c r="F1089" s="160"/>
      <c r="G1089" s="160"/>
      <c r="H1089" s="160"/>
      <c r="I1089" s="160"/>
      <c r="J1089" s="160"/>
      <c r="K1089" s="160"/>
      <c r="L1089" s="160"/>
      <c r="M1089" s="160"/>
    </row>
    <row r="1090" spans="2:13">
      <c r="B1090" s="396"/>
      <c r="C1090" s="160"/>
      <c r="D1090" s="160"/>
      <c r="E1090" s="160"/>
      <c r="F1090" s="160"/>
      <c r="G1090" s="160"/>
      <c r="H1090" s="160"/>
      <c r="I1090" s="160"/>
      <c r="J1090" s="160"/>
      <c r="K1090" s="160"/>
      <c r="L1090" s="160"/>
      <c r="M1090" s="160"/>
    </row>
    <row r="1091" spans="2:13">
      <c r="B1091" s="396"/>
      <c r="C1091" s="160"/>
      <c r="D1091" s="160"/>
      <c r="E1091" s="160"/>
      <c r="F1091" s="160"/>
      <c r="G1091" s="160"/>
      <c r="H1091" s="160"/>
      <c r="I1091" s="160"/>
      <c r="J1091" s="160"/>
      <c r="K1091" s="160"/>
      <c r="L1091" s="160"/>
      <c r="M1091" s="160"/>
    </row>
    <row r="1092" spans="2:13">
      <c r="B1092" s="396"/>
      <c r="C1092" s="160"/>
      <c r="D1092" s="160"/>
      <c r="E1092" s="160"/>
      <c r="F1092" s="160"/>
      <c r="G1092" s="160"/>
      <c r="H1092" s="160"/>
      <c r="I1092" s="160"/>
      <c r="J1092" s="160"/>
      <c r="K1092" s="160"/>
      <c r="L1092" s="160"/>
      <c r="M1092" s="160"/>
    </row>
    <row r="1093" spans="2:13">
      <c r="B1093" s="396"/>
      <c r="C1093" s="160"/>
      <c r="D1093" s="160"/>
      <c r="E1093" s="160"/>
      <c r="F1093" s="160"/>
      <c r="G1093" s="160"/>
      <c r="H1093" s="160"/>
      <c r="I1093" s="160"/>
      <c r="J1093" s="160"/>
      <c r="K1093" s="160"/>
      <c r="L1093" s="160"/>
      <c r="M1093" s="160"/>
    </row>
    <row r="1094" spans="2:13">
      <c r="B1094" s="396"/>
      <c r="C1094" s="160"/>
      <c r="D1094" s="160"/>
      <c r="E1094" s="160"/>
      <c r="F1094" s="160"/>
      <c r="G1094" s="160"/>
      <c r="H1094" s="160"/>
      <c r="I1094" s="160"/>
      <c r="J1094" s="160"/>
      <c r="K1094" s="160"/>
      <c r="L1094" s="160"/>
      <c r="M1094" s="160"/>
    </row>
    <row r="1095" spans="2:13">
      <c r="B1095" s="396"/>
      <c r="C1095" s="160"/>
      <c r="D1095" s="160"/>
      <c r="E1095" s="160"/>
      <c r="F1095" s="160"/>
      <c r="G1095" s="160"/>
      <c r="H1095" s="160"/>
      <c r="I1095" s="160"/>
      <c r="J1095" s="160"/>
      <c r="K1095" s="160"/>
      <c r="L1095" s="160"/>
      <c r="M1095" s="160"/>
    </row>
    <row r="1096" spans="2:13">
      <c r="B1096" s="396"/>
      <c r="C1096" s="160"/>
      <c r="D1096" s="160"/>
      <c r="E1096" s="160"/>
      <c r="F1096" s="160"/>
      <c r="G1096" s="160"/>
      <c r="H1096" s="160"/>
      <c r="I1096" s="160"/>
      <c r="J1096" s="160"/>
      <c r="K1096" s="160"/>
      <c r="L1096" s="160"/>
      <c r="M1096" s="160"/>
    </row>
    <row r="1097" spans="2:13">
      <c r="B1097" s="396"/>
      <c r="C1097" s="160"/>
      <c r="D1097" s="160"/>
      <c r="E1097" s="160"/>
      <c r="F1097" s="160"/>
      <c r="G1097" s="160"/>
      <c r="H1097" s="160"/>
      <c r="I1097" s="160"/>
      <c r="J1097" s="160"/>
      <c r="K1097" s="160"/>
      <c r="L1097" s="160"/>
      <c r="M1097" s="160"/>
    </row>
    <row r="1098" spans="2:13">
      <c r="B1098" s="396"/>
      <c r="C1098" s="160"/>
      <c r="D1098" s="160"/>
      <c r="E1098" s="160"/>
      <c r="F1098" s="160"/>
      <c r="G1098" s="160"/>
      <c r="H1098" s="160"/>
      <c r="I1098" s="160"/>
      <c r="J1098" s="160"/>
      <c r="K1098" s="160"/>
      <c r="L1098" s="160"/>
      <c r="M1098" s="160"/>
    </row>
    <row r="1099" spans="2:13">
      <c r="B1099" s="396"/>
      <c r="C1099" s="160"/>
      <c r="D1099" s="160"/>
      <c r="E1099" s="160"/>
      <c r="F1099" s="160"/>
      <c r="G1099" s="160"/>
      <c r="H1099" s="160"/>
      <c r="I1099" s="160"/>
      <c r="J1099" s="160"/>
      <c r="K1099" s="160"/>
      <c r="L1099" s="160"/>
      <c r="M1099" s="160"/>
    </row>
    <row r="1100" spans="2:13">
      <c r="B1100" s="396"/>
      <c r="C1100" s="160"/>
      <c r="D1100" s="160"/>
      <c r="E1100" s="160"/>
      <c r="F1100" s="160"/>
      <c r="G1100" s="160"/>
      <c r="H1100" s="160"/>
      <c r="I1100" s="160"/>
      <c r="J1100" s="160"/>
      <c r="K1100" s="160"/>
      <c r="L1100" s="160"/>
      <c r="M1100" s="160"/>
    </row>
    <row r="1101" spans="2:13">
      <c r="B1101" s="396"/>
      <c r="C1101" s="160"/>
      <c r="D1101" s="160"/>
      <c r="E1101" s="160"/>
      <c r="F1101" s="160"/>
      <c r="G1101" s="160"/>
      <c r="H1101" s="160"/>
      <c r="I1101" s="160"/>
      <c r="J1101" s="160"/>
      <c r="K1101" s="160"/>
      <c r="L1101" s="160"/>
      <c r="M1101" s="160"/>
    </row>
    <row r="1102" spans="2:13">
      <c r="B1102" s="396"/>
      <c r="C1102" s="160"/>
      <c r="D1102" s="160"/>
      <c r="E1102" s="160"/>
      <c r="F1102" s="160"/>
      <c r="G1102" s="160"/>
      <c r="H1102" s="160"/>
      <c r="I1102" s="160"/>
      <c r="J1102" s="160"/>
      <c r="K1102" s="160"/>
      <c r="L1102" s="160"/>
      <c r="M1102" s="160"/>
    </row>
    <row r="1103" spans="2:13">
      <c r="B1103" s="396"/>
      <c r="C1103" s="160"/>
      <c r="D1103" s="160"/>
      <c r="E1103" s="160"/>
      <c r="F1103" s="160"/>
      <c r="G1103" s="160"/>
      <c r="H1103" s="160"/>
      <c r="I1103" s="160"/>
      <c r="J1103" s="160"/>
      <c r="K1103" s="160"/>
      <c r="L1103" s="160"/>
      <c r="M1103" s="160"/>
    </row>
    <row r="1104" spans="2:13">
      <c r="B1104" s="396"/>
      <c r="C1104" s="160"/>
      <c r="D1104" s="160"/>
      <c r="E1104" s="160"/>
      <c r="F1104" s="160"/>
      <c r="G1104" s="160"/>
      <c r="H1104" s="160"/>
      <c r="I1104" s="160"/>
      <c r="J1104" s="160"/>
      <c r="K1104" s="160"/>
      <c r="L1104" s="160"/>
      <c r="M1104" s="160"/>
    </row>
    <row r="1105" spans="2:13">
      <c r="B1105" s="396"/>
      <c r="C1105" s="160"/>
      <c r="D1105" s="160"/>
      <c r="E1105" s="160"/>
      <c r="F1105" s="160"/>
      <c r="G1105" s="160"/>
      <c r="H1105" s="160"/>
      <c r="I1105" s="160"/>
      <c r="J1105" s="160"/>
      <c r="K1105" s="160"/>
      <c r="L1105" s="160"/>
      <c r="M1105" s="160"/>
    </row>
    <row r="1106" spans="2:13">
      <c r="B1106" s="396"/>
      <c r="C1106" s="160"/>
      <c r="D1106" s="160"/>
      <c r="E1106" s="160"/>
      <c r="F1106" s="160"/>
      <c r="G1106" s="160"/>
      <c r="H1106" s="160"/>
      <c r="I1106" s="160"/>
      <c r="J1106" s="160"/>
      <c r="K1106" s="160"/>
      <c r="L1106" s="160"/>
      <c r="M1106" s="160"/>
    </row>
    <row r="1107" spans="2:13">
      <c r="B1107" s="396"/>
      <c r="C1107" s="160"/>
      <c r="D1107" s="160"/>
      <c r="E1107" s="160"/>
      <c r="F1107" s="160"/>
      <c r="G1107" s="160"/>
      <c r="H1107" s="160"/>
      <c r="I1107" s="160"/>
      <c r="J1107" s="160"/>
      <c r="K1107" s="160"/>
      <c r="L1107" s="160"/>
      <c r="M1107" s="160"/>
    </row>
    <row r="1108" spans="2:13">
      <c r="B1108" s="396"/>
      <c r="C1108" s="160"/>
      <c r="D1108" s="160"/>
      <c r="E1108" s="160"/>
      <c r="F1108" s="160"/>
      <c r="G1108" s="160"/>
      <c r="H1108" s="160"/>
      <c r="I1108" s="160"/>
      <c r="J1108" s="160"/>
      <c r="K1108" s="160"/>
      <c r="L1108" s="160"/>
      <c r="M1108" s="160"/>
    </row>
    <row r="1109" spans="2:13">
      <c r="B1109" s="396"/>
      <c r="C1109" s="160"/>
      <c r="D1109" s="160"/>
      <c r="E1109" s="160"/>
      <c r="F1109" s="160"/>
      <c r="G1109" s="160"/>
      <c r="H1109" s="160"/>
      <c r="I1109" s="160"/>
      <c r="J1109" s="160"/>
      <c r="K1109" s="160"/>
      <c r="L1109" s="160"/>
      <c r="M1109" s="160"/>
    </row>
    <row r="1110" spans="2:13">
      <c r="B1110" s="396"/>
      <c r="C1110" s="160"/>
      <c r="D1110" s="160"/>
      <c r="E1110" s="160"/>
      <c r="F1110" s="160"/>
      <c r="G1110" s="160"/>
      <c r="H1110" s="160"/>
      <c r="I1110" s="160"/>
      <c r="J1110" s="160"/>
      <c r="K1110" s="160"/>
      <c r="L1110" s="160"/>
      <c r="M1110" s="160"/>
    </row>
    <row r="1111" spans="2:13">
      <c r="B1111" s="396"/>
      <c r="C1111" s="160"/>
      <c r="D1111" s="160"/>
      <c r="E1111" s="160"/>
      <c r="F1111" s="160"/>
      <c r="G1111" s="160"/>
      <c r="H1111" s="160"/>
      <c r="I1111" s="160"/>
      <c r="J1111" s="160"/>
      <c r="K1111" s="160"/>
      <c r="L1111" s="160"/>
      <c r="M1111" s="160"/>
    </row>
    <row r="1112" spans="2:13">
      <c r="B1112" s="396"/>
      <c r="C1112" s="160"/>
      <c r="D1112" s="160"/>
      <c r="E1112" s="160"/>
      <c r="F1112" s="160"/>
      <c r="G1112" s="160"/>
      <c r="H1112" s="160"/>
      <c r="I1112" s="160"/>
      <c r="J1112" s="160"/>
      <c r="K1112" s="160"/>
      <c r="L1112" s="160"/>
      <c r="M1112" s="160"/>
    </row>
    <row r="1113" spans="2:13">
      <c r="B1113" s="396"/>
      <c r="C1113" s="160"/>
      <c r="D1113" s="160"/>
      <c r="E1113" s="160"/>
      <c r="F1113" s="160"/>
      <c r="G1113" s="160"/>
      <c r="H1113" s="160"/>
      <c r="I1113" s="160"/>
      <c r="J1113" s="160"/>
      <c r="K1113" s="160"/>
      <c r="L1113" s="160"/>
      <c r="M1113" s="160"/>
    </row>
    <row r="1114" spans="2:13">
      <c r="B1114" s="396"/>
      <c r="C1114" s="160"/>
      <c r="D1114" s="160"/>
      <c r="E1114" s="160"/>
      <c r="F1114" s="160"/>
      <c r="G1114" s="160"/>
      <c r="H1114" s="160"/>
      <c r="I1114" s="160"/>
      <c r="J1114" s="160"/>
      <c r="K1114" s="160"/>
      <c r="L1114" s="160"/>
      <c r="M1114" s="160"/>
    </row>
    <row r="1115" spans="2:13">
      <c r="B1115" s="396"/>
      <c r="C1115" s="160"/>
      <c r="D1115" s="160"/>
      <c r="E1115" s="160"/>
      <c r="F1115" s="160"/>
      <c r="G1115" s="160"/>
      <c r="H1115" s="160"/>
      <c r="I1115" s="160"/>
      <c r="J1115" s="160"/>
      <c r="K1115" s="160"/>
      <c r="L1115" s="160"/>
      <c r="M1115" s="160"/>
    </row>
    <row r="1116" spans="2:13">
      <c r="B1116" s="396"/>
      <c r="C1116" s="160"/>
      <c r="D1116" s="160"/>
      <c r="E1116" s="160"/>
      <c r="F1116" s="160"/>
      <c r="G1116" s="160"/>
      <c r="H1116" s="160"/>
      <c r="I1116" s="160"/>
      <c r="J1116" s="160"/>
      <c r="K1116" s="160"/>
      <c r="L1116" s="160"/>
      <c r="M1116" s="160"/>
    </row>
    <row r="1117" spans="2:13">
      <c r="B1117" s="396"/>
      <c r="C1117" s="160"/>
      <c r="D1117" s="160"/>
      <c r="E1117" s="160"/>
      <c r="F1117" s="160"/>
      <c r="G1117" s="160"/>
      <c r="H1117" s="160"/>
      <c r="I1117" s="160"/>
      <c r="J1117" s="160"/>
      <c r="K1117" s="160"/>
      <c r="L1117" s="160"/>
      <c r="M1117" s="160"/>
    </row>
    <row r="1118" spans="2:13">
      <c r="B1118" s="396"/>
      <c r="C1118" s="160"/>
      <c r="D1118" s="160"/>
      <c r="E1118" s="160"/>
      <c r="F1118" s="160"/>
      <c r="G1118" s="160"/>
      <c r="H1118" s="160"/>
      <c r="I1118" s="160"/>
      <c r="J1118" s="160"/>
      <c r="K1118" s="160"/>
      <c r="L1118" s="160"/>
      <c r="M1118" s="160"/>
    </row>
    <row r="1119" spans="2:13">
      <c r="B1119" s="396"/>
      <c r="C1119" s="160"/>
      <c r="D1119" s="160"/>
      <c r="E1119" s="160"/>
      <c r="F1119" s="160"/>
      <c r="G1119" s="160"/>
      <c r="H1119" s="160"/>
      <c r="I1119" s="160"/>
      <c r="J1119" s="160"/>
      <c r="K1119" s="160"/>
      <c r="L1119" s="160"/>
      <c r="M1119" s="160"/>
    </row>
    <row r="1120" spans="2:13">
      <c r="B1120" s="396"/>
      <c r="C1120" s="160"/>
      <c r="D1120" s="160"/>
      <c r="E1120" s="160"/>
      <c r="F1120" s="160"/>
      <c r="G1120" s="160"/>
      <c r="H1120" s="160"/>
      <c r="I1120" s="160"/>
      <c r="J1120" s="160"/>
      <c r="K1120" s="160"/>
      <c r="L1120" s="160"/>
      <c r="M1120" s="160"/>
    </row>
    <row r="1121" spans="2:13">
      <c r="B1121" s="396"/>
      <c r="C1121" s="160"/>
      <c r="D1121" s="160"/>
      <c r="E1121" s="160"/>
      <c r="F1121" s="160"/>
      <c r="G1121" s="160"/>
      <c r="H1121" s="160"/>
      <c r="I1121" s="160"/>
      <c r="J1121" s="160"/>
      <c r="K1121" s="160"/>
      <c r="L1121" s="160"/>
      <c r="M1121" s="160"/>
    </row>
    <row r="1122" spans="2:13">
      <c r="B1122" s="396"/>
      <c r="C1122" s="160"/>
      <c r="D1122" s="160"/>
      <c r="E1122" s="160"/>
      <c r="F1122" s="160"/>
      <c r="G1122" s="160"/>
      <c r="H1122" s="160"/>
      <c r="I1122" s="160"/>
      <c r="J1122" s="160"/>
      <c r="K1122" s="160"/>
      <c r="L1122" s="160"/>
      <c r="M1122" s="160"/>
    </row>
    <row r="1123" spans="2:13">
      <c r="B1123" s="396"/>
      <c r="C1123" s="160"/>
      <c r="D1123" s="160"/>
      <c r="E1123" s="160"/>
      <c r="F1123" s="160"/>
      <c r="G1123" s="160"/>
      <c r="H1123" s="160"/>
      <c r="I1123" s="160"/>
      <c r="J1123" s="160"/>
      <c r="K1123" s="160"/>
      <c r="L1123" s="160"/>
      <c r="M1123" s="160"/>
    </row>
    <row r="1124" spans="2:13">
      <c r="B1124" s="396"/>
      <c r="C1124" s="160"/>
      <c r="D1124" s="160"/>
      <c r="E1124" s="160"/>
      <c r="F1124" s="160"/>
      <c r="G1124" s="160"/>
      <c r="H1124" s="160"/>
      <c r="I1124" s="160"/>
      <c r="J1124" s="160"/>
      <c r="K1124" s="160"/>
      <c r="L1124" s="160"/>
      <c r="M1124" s="160"/>
    </row>
    <row r="1125" spans="2:13">
      <c r="B1125" s="396"/>
      <c r="C1125" s="160"/>
      <c r="D1125" s="160"/>
      <c r="E1125" s="160"/>
      <c r="F1125" s="160"/>
      <c r="G1125" s="160"/>
      <c r="H1125" s="160"/>
      <c r="I1125" s="160"/>
      <c r="J1125" s="160"/>
      <c r="K1125" s="160"/>
      <c r="L1125" s="160"/>
      <c r="M1125" s="160"/>
    </row>
    <row r="1126" spans="2:13">
      <c r="B1126" s="396"/>
      <c r="C1126" s="160"/>
      <c r="D1126" s="160"/>
      <c r="E1126" s="160"/>
      <c r="F1126" s="160"/>
      <c r="G1126" s="160"/>
      <c r="H1126" s="160"/>
      <c r="I1126" s="160"/>
      <c r="J1126" s="160"/>
      <c r="K1126" s="160"/>
      <c r="L1126" s="160"/>
      <c r="M1126" s="160"/>
    </row>
    <row r="1127" spans="2:13">
      <c r="B1127" s="396"/>
      <c r="C1127" s="160"/>
      <c r="D1127" s="160"/>
      <c r="E1127" s="160"/>
      <c r="F1127" s="160"/>
      <c r="G1127" s="160"/>
      <c r="H1127" s="160"/>
      <c r="I1127" s="160"/>
      <c r="J1127" s="160"/>
      <c r="K1127" s="160"/>
      <c r="L1127" s="160"/>
      <c r="M1127" s="160"/>
    </row>
    <row r="1128" spans="2:13">
      <c r="B1128" s="396"/>
      <c r="C1128" s="160"/>
      <c r="D1128" s="160"/>
      <c r="E1128" s="160"/>
      <c r="F1128" s="160"/>
      <c r="G1128" s="160"/>
      <c r="H1128" s="160"/>
      <c r="I1128" s="160"/>
      <c r="J1128" s="160"/>
      <c r="K1128" s="160"/>
      <c r="L1128" s="160"/>
      <c r="M1128" s="160"/>
    </row>
    <row r="1129" spans="2:13">
      <c r="B1129" s="396"/>
      <c r="C1129" s="160"/>
      <c r="D1129" s="160"/>
      <c r="E1129" s="160"/>
      <c r="F1129" s="160"/>
      <c r="G1129" s="160"/>
      <c r="H1129" s="160"/>
      <c r="I1129" s="160"/>
      <c r="J1129" s="160"/>
      <c r="K1129" s="160"/>
      <c r="L1129" s="160"/>
      <c r="M1129" s="160"/>
    </row>
    <row r="1130" spans="2:13">
      <c r="B1130" s="396"/>
      <c r="C1130" s="160"/>
      <c r="D1130" s="160"/>
      <c r="E1130" s="160"/>
      <c r="F1130" s="160"/>
      <c r="G1130" s="160"/>
      <c r="H1130" s="160"/>
      <c r="I1130" s="160"/>
      <c r="J1130" s="160"/>
      <c r="K1130" s="160"/>
      <c r="L1130" s="160"/>
      <c r="M1130" s="160"/>
    </row>
    <row r="1131" spans="2:13">
      <c r="B1131" s="396"/>
      <c r="C1131" s="160"/>
      <c r="D1131" s="160"/>
      <c r="E1131" s="160"/>
      <c r="F1131" s="160"/>
      <c r="G1131" s="160"/>
      <c r="H1131" s="160"/>
      <c r="I1131" s="160"/>
      <c r="J1131" s="160"/>
      <c r="K1131" s="160"/>
      <c r="L1131" s="160"/>
      <c r="M1131" s="160"/>
    </row>
    <row r="1132" spans="2:13">
      <c r="B1132" s="396"/>
      <c r="C1132" s="160"/>
      <c r="D1132" s="160"/>
      <c r="E1132" s="160"/>
      <c r="F1132" s="160"/>
      <c r="G1132" s="160"/>
      <c r="H1132" s="160"/>
      <c r="I1132" s="160"/>
      <c r="J1132" s="160"/>
      <c r="K1132" s="160"/>
      <c r="L1132" s="160"/>
      <c r="M1132" s="160"/>
    </row>
    <row r="1133" spans="2:13">
      <c r="B1133" s="396"/>
      <c r="C1133" s="160"/>
      <c r="D1133" s="160"/>
      <c r="E1133" s="160"/>
      <c r="F1133" s="160"/>
      <c r="G1133" s="160"/>
      <c r="H1133" s="160"/>
      <c r="I1133" s="160"/>
      <c r="J1133" s="160"/>
      <c r="K1133" s="160"/>
      <c r="L1133" s="160"/>
      <c r="M1133" s="160"/>
    </row>
    <row r="1134" spans="2:13">
      <c r="B1134" s="396"/>
      <c r="C1134" s="160"/>
      <c r="D1134" s="160"/>
      <c r="E1134" s="160"/>
      <c r="F1134" s="160"/>
      <c r="G1134" s="160"/>
      <c r="H1134" s="160"/>
      <c r="I1134" s="160"/>
      <c r="J1134" s="160"/>
      <c r="K1134" s="160"/>
      <c r="L1134" s="160"/>
      <c r="M1134" s="160"/>
    </row>
    <row r="1135" spans="2:13">
      <c r="B1135" s="396"/>
      <c r="C1135" s="160"/>
      <c r="D1135" s="160"/>
      <c r="E1135" s="160"/>
      <c r="F1135" s="160"/>
      <c r="G1135" s="160"/>
      <c r="H1135" s="160"/>
      <c r="I1135" s="160"/>
      <c r="J1135" s="160"/>
      <c r="K1135" s="160"/>
      <c r="L1135" s="160"/>
      <c r="M1135" s="160"/>
    </row>
    <row r="1136" spans="2:13">
      <c r="B1136" s="396"/>
      <c r="C1136" s="160"/>
      <c r="D1136" s="160"/>
      <c r="E1136" s="160"/>
      <c r="F1136" s="160"/>
      <c r="G1136" s="160"/>
      <c r="H1136" s="160"/>
      <c r="I1136" s="160"/>
      <c r="J1136" s="160"/>
      <c r="K1136" s="160"/>
      <c r="L1136" s="160"/>
      <c r="M1136" s="160"/>
    </row>
    <row r="1137" spans="2:13">
      <c r="B1137" s="396"/>
      <c r="C1137" s="160"/>
      <c r="D1137" s="160"/>
      <c r="E1137" s="160"/>
      <c r="F1137" s="160"/>
      <c r="G1137" s="160"/>
      <c r="H1137" s="160"/>
      <c r="I1137" s="160"/>
      <c r="J1137" s="160"/>
      <c r="K1137" s="160"/>
      <c r="L1137" s="160"/>
      <c r="M1137" s="160"/>
    </row>
    <row r="1138" spans="2:13">
      <c r="B1138" s="396"/>
      <c r="C1138" s="160"/>
      <c r="D1138" s="160"/>
      <c r="E1138" s="160"/>
      <c r="F1138" s="160"/>
      <c r="G1138" s="160"/>
      <c r="H1138" s="160"/>
      <c r="I1138" s="160"/>
      <c r="J1138" s="160"/>
      <c r="K1138" s="160"/>
      <c r="L1138" s="160"/>
      <c r="M1138" s="160"/>
    </row>
    <row r="1139" spans="2:13">
      <c r="B1139" s="396"/>
      <c r="C1139" s="160"/>
      <c r="D1139" s="160"/>
      <c r="E1139" s="160"/>
      <c r="F1139" s="160"/>
      <c r="G1139" s="160"/>
      <c r="H1139" s="160"/>
      <c r="I1139" s="160"/>
      <c r="J1139" s="160"/>
      <c r="K1139" s="160"/>
      <c r="L1139" s="160"/>
      <c r="M1139" s="160"/>
    </row>
    <row r="1140" spans="2:13">
      <c r="B1140" s="396"/>
      <c r="C1140" s="160"/>
      <c r="D1140" s="160"/>
      <c r="E1140" s="160"/>
      <c r="F1140" s="160"/>
      <c r="G1140" s="160"/>
      <c r="H1140" s="160"/>
      <c r="I1140" s="160"/>
      <c r="J1140" s="160"/>
      <c r="K1140" s="160"/>
      <c r="L1140" s="160"/>
      <c r="M1140" s="160"/>
    </row>
    <row r="1141" spans="2:13">
      <c r="B1141" s="396"/>
      <c r="C1141" s="160"/>
      <c r="D1141" s="160"/>
      <c r="E1141" s="160"/>
      <c r="F1141" s="160"/>
      <c r="G1141" s="160"/>
      <c r="H1141" s="160"/>
      <c r="I1141" s="160"/>
      <c r="J1141" s="160"/>
      <c r="K1141" s="160"/>
      <c r="L1141" s="160"/>
      <c r="M1141" s="160"/>
    </row>
    <row r="1142" spans="2:13">
      <c r="B1142" s="396"/>
      <c r="C1142" s="160"/>
      <c r="D1142" s="160"/>
      <c r="E1142" s="160"/>
      <c r="F1142" s="160"/>
      <c r="G1142" s="160"/>
      <c r="H1142" s="160"/>
      <c r="I1142" s="160"/>
      <c r="J1142" s="160"/>
      <c r="K1142" s="160"/>
      <c r="L1142" s="160"/>
      <c r="M1142" s="160"/>
    </row>
    <row r="1143" spans="2:13">
      <c r="B1143" s="396"/>
      <c r="C1143" s="160"/>
      <c r="D1143" s="160"/>
      <c r="E1143" s="160"/>
      <c r="F1143" s="160"/>
      <c r="G1143" s="160"/>
      <c r="H1143" s="160"/>
      <c r="I1143" s="160"/>
      <c r="J1143" s="160"/>
      <c r="K1143" s="160"/>
      <c r="L1143" s="160"/>
      <c r="M1143" s="160"/>
    </row>
    <row r="1144" spans="2:13">
      <c r="B1144" s="396"/>
      <c r="C1144" s="160"/>
      <c r="D1144" s="160"/>
      <c r="E1144" s="160"/>
      <c r="F1144" s="160"/>
      <c r="G1144" s="160"/>
      <c r="H1144" s="160"/>
      <c r="I1144" s="160"/>
      <c r="J1144" s="160"/>
      <c r="K1144" s="160"/>
      <c r="L1144" s="160"/>
      <c r="M1144" s="160"/>
    </row>
    <row r="1145" spans="2:13">
      <c r="B1145" s="396"/>
      <c r="C1145" s="160"/>
      <c r="D1145" s="160"/>
      <c r="E1145" s="160"/>
      <c r="F1145" s="160"/>
      <c r="G1145" s="160"/>
      <c r="H1145" s="160"/>
      <c r="I1145" s="160"/>
      <c r="J1145" s="160"/>
      <c r="K1145" s="160"/>
      <c r="L1145" s="160"/>
      <c r="M1145" s="160"/>
    </row>
    <row r="1146" spans="2:13">
      <c r="B1146" s="396"/>
      <c r="C1146" s="160"/>
      <c r="D1146" s="160"/>
      <c r="E1146" s="160"/>
      <c r="F1146" s="160"/>
      <c r="G1146" s="160"/>
      <c r="H1146" s="160"/>
      <c r="I1146" s="160"/>
      <c r="J1146" s="160"/>
      <c r="K1146" s="160"/>
      <c r="L1146" s="160"/>
      <c r="M1146" s="160"/>
    </row>
    <row r="1147" spans="2:13">
      <c r="B1147" s="396"/>
      <c r="C1147" s="160"/>
      <c r="D1147" s="160"/>
      <c r="E1147" s="160"/>
      <c r="F1147" s="160"/>
      <c r="G1147" s="160"/>
      <c r="H1147" s="160"/>
      <c r="I1147" s="160"/>
      <c r="J1147" s="160"/>
      <c r="K1147" s="160"/>
      <c r="L1147" s="160"/>
      <c r="M1147" s="160"/>
    </row>
    <row r="1148" spans="2:13">
      <c r="B1148" s="396"/>
      <c r="C1148" s="160"/>
      <c r="D1148" s="160"/>
      <c r="E1148" s="160"/>
      <c r="F1148" s="160"/>
      <c r="G1148" s="160"/>
      <c r="H1148" s="160"/>
      <c r="I1148" s="160"/>
      <c r="J1148" s="160"/>
      <c r="K1148" s="160"/>
      <c r="L1148" s="160"/>
      <c r="M1148" s="160"/>
    </row>
    <row r="1149" spans="2:13">
      <c r="B1149" s="396"/>
      <c r="C1149" s="160"/>
      <c r="D1149" s="160"/>
      <c r="E1149" s="160"/>
      <c r="F1149" s="160"/>
      <c r="G1149" s="160"/>
      <c r="H1149" s="160"/>
      <c r="I1149" s="160"/>
      <c r="J1149" s="160"/>
      <c r="K1149" s="160"/>
      <c r="L1149" s="160"/>
      <c r="M1149" s="160"/>
    </row>
    <row r="1150" spans="2:13">
      <c r="B1150" s="396"/>
      <c r="C1150" s="160"/>
      <c r="D1150" s="160"/>
      <c r="E1150" s="160"/>
      <c r="F1150" s="160"/>
      <c r="G1150" s="160"/>
      <c r="H1150" s="160"/>
      <c r="I1150" s="160"/>
      <c r="J1150" s="160"/>
      <c r="K1150" s="160"/>
      <c r="L1150" s="160"/>
      <c r="M1150" s="160"/>
    </row>
    <row r="1151" spans="2:13">
      <c r="B1151" s="396"/>
      <c r="C1151" s="160"/>
      <c r="D1151" s="160"/>
      <c r="E1151" s="160"/>
      <c r="F1151" s="160"/>
      <c r="G1151" s="160"/>
      <c r="H1151" s="160"/>
      <c r="I1151" s="160"/>
      <c r="J1151" s="160"/>
      <c r="K1151" s="160"/>
      <c r="L1151" s="160"/>
      <c r="M1151" s="160"/>
    </row>
    <row r="1152" spans="2:13">
      <c r="B1152" s="396"/>
      <c r="C1152" s="160"/>
      <c r="D1152" s="160"/>
      <c r="E1152" s="160"/>
      <c r="F1152" s="160"/>
      <c r="G1152" s="160"/>
      <c r="H1152" s="160"/>
      <c r="I1152" s="160"/>
      <c r="J1152" s="160"/>
      <c r="K1152" s="160"/>
      <c r="L1152" s="160"/>
      <c r="M1152" s="160"/>
    </row>
    <row r="1153" spans="2:13">
      <c r="B1153" s="396"/>
      <c r="C1153" s="160"/>
      <c r="D1153" s="160"/>
      <c r="E1153" s="160"/>
      <c r="F1153" s="160"/>
      <c r="G1153" s="160"/>
      <c r="H1153" s="160"/>
      <c r="I1153" s="160"/>
      <c r="J1153" s="160"/>
      <c r="K1153" s="160"/>
      <c r="L1153" s="160"/>
      <c r="M1153" s="160"/>
    </row>
    <row r="1154" spans="2:13">
      <c r="B1154" s="396"/>
      <c r="C1154" s="160"/>
      <c r="D1154" s="160"/>
      <c r="E1154" s="160"/>
      <c r="F1154" s="160"/>
      <c r="G1154" s="160"/>
      <c r="H1154" s="160"/>
      <c r="I1154" s="160"/>
      <c r="J1154" s="160"/>
      <c r="K1154" s="160"/>
      <c r="L1154" s="160"/>
      <c r="M1154" s="160"/>
    </row>
    <row r="1155" spans="2:13">
      <c r="B1155" s="396"/>
      <c r="C1155" s="160"/>
      <c r="D1155" s="160"/>
      <c r="E1155" s="160"/>
      <c r="F1155" s="160"/>
      <c r="G1155" s="160"/>
      <c r="H1155" s="160"/>
      <c r="I1155" s="160"/>
      <c r="J1155" s="160"/>
      <c r="K1155" s="160"/>
      <c r="L1155" s="160"/>
      <c r="M1155" s="160"/>
    </row>
    <row r="1156" spans="2:13">
      <c r="B1156" s="396"/>
      <c r="C1156" s="160"/>
      <c r="D1156" s="160"/>
      <c r="E1156" s="160"/>
      <c r="F1156" s="160"/>
      <c r="G1156" s="160"/>
      <c r="H1156" s="160"/>
      <c r="I1156" s="160"/>
      <c r="J1156" s="160"/>
      <c r="K1156" s="160"/>
      <c r="L1156" s="160"/>
      <c r="M1156" s="160"/>
    </row>
    <row r="1157" spans="2:13">
      <c r="B1157" s="396"/>
      <c r="C1157" s="160"/>
      <c r="D1157" s="160"/>
      <c r="E1157" s="160"/>
      <c r="F1157" s="160"/>
      <c r="G1157" s="160"/>
      <c r="H1157" s="160"/>
      <c r="I1157" s="160"/>
      <c r="J1157" s="160"/>
      <c r="K1157" s="160"/>
      <c r="L1157" s="160"/>
      <c r="M1157" s="160"/>
    </row>
    <row r="1158" spans="2:13">
      <c r="B1158" s="396"/>
      <c r="C1158" s="160"/>
      <c r="D1158" s="160"/>
      <c r="E1158" s="160"/>
      <c r="F1158" s="160"/>
      <c r="G1158" s="160"/>
      <c r="H1158" s="160"/>
      <c r="I1158" s="160"/>
      <c r="J1158" s="160"/>
      <c r="K1158" s="160"/>
      <c r="L1158" s="160"/>
      <c r="M1158" s="160"/>
    </row>
    <row r="1159" spans="2:13">
      <c r="B1159" s="396"/>
      <c r="C1159" s="160"/>
      <c r="D1159" s="160"/>
      <c r="E1159" s="160"/>
      <c r="F1159" s="160"/>
      <c r="G1159" s="160"/>
      <c r="H1159" s="160"/>
      <c r="I1159" s="160"/>
      <c r="J1159" s="160"/>
      <c r="K1159" s="160"/>
      <c r="L1159" s="160"/>
      <c r="M1159" s="160"/>
    </row>
    <row r="1160" spans="2:13">
      <c r="B1160" s="396"/>
      <c r="C1160" s="160"/>
      <c r="D1160" s="160"/>
      <c r="E1160" s="160"/>
      <c r="F1160" s="160"/>
      <c r="G1160" s="160"/>
      <c r="H1160" s="160"/>
      <c r="I1160" s="160"/>
      <c r="J1160" s="160"/>
      <c r="K1160" s="160"/>
      <c r="L1160" s="160"/>
      <c r="M1160" s="160"/>
    </row>
    <row r="1161" spans="2:13">
      <c r="B1161" s="396"/>
      <c r="C1161" s="160"/>
      <c r="D1161" s="160"/>
      <c r="E1161" s="160"/>
      <c r="F1161" s="160"/>
      <c r="G1161" s="160"/>
      <c r="H1161" s="160"/>
      <c r="I1161" s="160"/>
      <c r="J1161" s="160"/>
      <c r="K1161" s="160"/>
      <c r="L1161" s="160"/>
      <c r="M1161" s="160"/>
    </row>
    <row r="1162" spans="2:13">
      <c r="B1162" s="396"/>
      <c r="C1162" s="160"/>
      <c r="D1162" s="160"/>
      <c r="E1162" s="160"/>
      <c r="F1162" s="160"/>
      <c r="G1162" s="160"/>
      <c r="H1162" s="160"/>
      <c r="I1162" s="160"/>
      <c r="J1162" s="160"/>
      <c r="K1162" s="160"/>
      <c r="L1162" s="160"/>
      <c r="M1162" s="160"/>
    </row>
    <row r="1163" spans="2:13">
      <c r="B1163" s="396"/>
      <c r="C1163" s="160"/>
      <c r="D1163" s="160"/>
      <c r="E1163" s="160"/>
      <c r="F1163" s="160"/>
      <c r="G1163" s="160"/>
      <c r="H1163" s="160"/>
      <c r="I1163" s="160"/>
      <c r="J1163" s="160"/>
      <c r="K1163" s="160"/>
      <c r="L1163" s="160"/>
      <c r="M1163" s="160"/>
    </row>
    <row r="1164" spans="2:13">
      <c r="B1164" s="396"/>
      <c r="C1164" s="160"/>
      <c r="D1164" s="160"/>
      <c r="E1164" s="160"/>
      <c r="F1164" s="160"/>
      <c r="G1164" s="160"/>
      <c r="H1164" s="160"/>
      <c r="I1164" s="160"/>
      <c r="J1164" s="160"/>
      <c r="K1164" s="160"/>
      <c r="L1164" s="160"/>
      <c r="M1164" s="160"/>
    </row>
    <row r="1165" spans="2:13">
      <c r="B1165" s="396"/>
      <c r="C1165" s="160"/>
      <c r="D1165" s="160"/>
      <c r="E1165" s="160"/>
      <c r="F1165" s="160"/>
      <c r="G1165" s="160"/>
      <c r="H1165" s="160"/>
      <c r="I1165" s="160"/>
      <c r="J1165" s="160"/>
      <c r="K1165" s="160"/>
      <c r="L1165" s="160"/>
      <c r="M1165" s="160"/>
    </row>
    <row r="1166" spans="2:13">
      <c r="B1166" s="396"/>
      <c r="C1166" s="160"/>
      <c r="D1166" s="160"/>
      <c r="E1166" s="160"/>
      <c r="F1166" s="160"/>
      <c r="G1166" s="160"/>
      <c r="H1166" s="160"/>
      <c r="I1166" s="160"/>
      <c r="J1166" s="160"/>
      <c r="K1166" s="160"/>
      <c r="L1166" s="160"/>
      <c r="M1166" s="160"/>
    </row>
    <row r="1167" spans="2:13">
      <c r="B1167" s="396"/>
      <c r="C1167" s="160"/>
      <c r="D1167" s="160"/>
      <c r="E1167" s="160"/>
      <c r="F1167" s="160"/>
      <c r="G1167" s="160"/>
      <c r="H1167" s="160"/>
      <c r="I1167" s="160"/>
      <c r="J1167" s="160"/>
      <c r="K1167" s="160"/>
      <c r="L1167" s="160"/>
      <c r="M1167" s="160"/>
    </row>
    <row r="1168" spans="2:13">
      <c r="B1168" s="396"/>
      <c r="C1168" s="160"/>
      <c r="D1168" s="160"/>
      <c r="E1168" s="160"/>
      <c r="F1168" s="160"/>
      <c r="G1168" s="160"/>
      <c r="H1168" s="160"/>
      <c r="I1168" s="160"/>
      <c r="J1168" s="160"/>
      <c r="K1168" s="160"/>
      <c r="L1168" s="160"/>
      <c r="M1168" s="160"/>
    </row>
    <row r="1169" spans="2:13">
      <c r="B1169" s="396"/>
      <c r="C1169" s="160"/>
      <c r="D1169" s="160"/>
      <c r="E1169" s="160"/>
      <c r="F1169" s="160"/>
      <c r="G1169" s="160"/>
      <c r="H1169" s="160"/>
      <c r="I1169" s="160"/>
      <c r="J1169" s="160"/>
      <c r="K1169" s="160"/>
      <c r="L1169" s="160"/>
      <c r="M1169" s="160"/>
    </row>
    <row r="1170" spans="2:13">
      <c r="B1170" s="396"/>
      <c r="C1170" s="160"/>
      <c r="D1170" s="160"/>
      <c r="E1170" s="160"/>
      <c r="F1170" s="160"/>
      <c r="G1170" s="160"/>
      <c r="H1170" s="160"/>
      <c r="I1170" s="160"/>
      <c r="J1170" s="160"/>
      <c r="K1170" s="160"/>
      <c r="L1170" s="160"/>
      <c r="M1170" s="160"/>
    </row>
    <row r="1171" spans="2:13">
      <c r="B1171" s="396"/>
      <c r="C1171" s="160"/>
      <c r="D1171" s="160"/>
      <c r="E1171" s="160"/>
      <c r="F1171" s="160"/>
      <c r="G1171" s="160"/>
      <c r="H1171" s="160"/>
      <c r="I1171" s="160"/>
      <c r="J1171" s="160"/>
      <c r="K1171" s="160"/>
      <c r="L1171" s="160"/>
      <c r="M1171" s="160"/>
    </row>
    <row r="1172" spans="2:13">
      <c r="B1172" s="396"/>
      <c r="C1172" s="160"/>
      <c r="D1172" s="160"/>
      <c r="E1172" s="160"/>
      <c r="F1172" s="160"/>
      <c r="G1172" s="160"/>
      <c r="H1172" s="160"/>
      <c r="I1172" s="160"/>
      <c r="J1172" s="160"/>
      <c r="K1172" s="160"/>
      <c r="L1172" s="160"/>
      <c r="M1172" s="160"/>
    </row>
    <row r="1173" spans="2:13">
      <c r="B1173" s="396"/>
      <c r="C1173" s="160"/>
      <c r="D1173" s="160"/>
      <c r="E1173" s="160"/>
      <c r="F1173" s="160"/>
      <c r="G1173" s="160"/>
      <c r="H1173" s="160"/>
      <c r="I1173" s="160"/>
      <c r="J1173" s="160"/>
      <c r="K1173" s="160"/>
      <c r="L1173" s="160"/>
      <c r="M1173" s="160"/>
    </row>
    <row r="1174" spans="2:13">
      <c r="B1174" s="396"/>
      <c r="C1174" s="160"/>
      <c r="D1174" s="160"/>
      <c r="E1174" s="160"/>
      <c r="F1174" s="160"/>
      <c r="G1174" s="160"/>
      <c r="H1174" s="160"/>
      <c r="I1174" s="160"/>
      <c r="J1174" s="160"/>
      <c r="K1174" s="160"/>
      <c r="L1174" s="160"/>
      <c r="M1174" s="160"/>
    </row>
    <row r="1175" spans="2:13">
      <c r="B1175" s="396"/>
      <c r="C1175" s="160"/>
      <c r="D1175" s="160"/>
      <c r="E1175" s="160"/>
      <c r="F1175" s="160"/>
      <c r="G1175" s="160"/>
      <c r="H1175" s="160"/>
      <c r="I1175" s="160"/>
      <c r="J1175" s="160"/>
      <c r="K1175" s="160"/>
      <c r="L1175" s="160"/>
      <c r="M1175" s="160"/>
    </row>
    <row r="1176" spans="2:13">
      <c r="B1176" s="396"/>
      <c r="C1176" s="160"/>
      <c r="D1176" s="160"/>
      <c r="E1176" s="160"/>
      <c r="F1176" s="160"/>
      <c r="G1176" s="160"/>
      <c r="H1176" s="160"/>
      <c r="I1176" s="160"/>
      <c r="J1176" s="160"/>
      <c r="K1176" s="160"/>
      <c r="L1176" s="160"/>
      <c r="M1176" s="160"/>
    </row>
    <row r="1177" spans="2:13">
      <c r="B1177" s="396"/>
      <c r="C1177" s="160"/>
      <c r="D1177" s="160"/>
      <c r="E1177" s="160"/>
      <c r="F1177" s="160"/>
      <c r="G1177" s="160"/>
      <c r="H1177" s="160"/>
      <c r="I1177" s="160"/>
      <c r="J1177" s="160"/>
      <c r="K1177" s="160"/>
      <c r="L1177" s="160"/>
      <c r="M1177" s="160"/>
    </row>
    <row r="1178" spans="2:13">
      <c r="B1178" s="396"/>
      <c r="C1178" s="160"/>
      <c r="D1178" s="160"/>
      <c r="E1178" s="160"/>
      <c r="F1178" s="160"/>
      <c r="G1178" s="160"/>
      <c r="H1178" s="160"/>
      <c r="I1178" s="160"/>
      <c r="J1178" s="160"/>
      <c r="K1178" s="160"/>
      <c r="L1178" s="160"/>
      <c r="M1178" s="160"/>
    </row>
    <row r="1179" spans="2:13">
      <c r="B1179" s="396"/>
      <c r="C1179" s="160"/>
      <c r="D1179" s="160"/>
      <c r="E1179" s="160"/>
      <c r="F1179" s="160"/>
      <c r="G1179" s="160"/>
      <c r="H1179" s="160"/>
      <c r="I1179" s="160"/>
      <c r="J1179" s="160"/>
      <c r="K1179" s="160"/>
      <c r="L1179" s="160"/>
      <c r="M1179" s="160"/>
    </row>
    <row r="1180" spans="2:13">
      <c r="B1180" s="396"/>
      <c r="C1180" s="160"/>
      <c r="D1180" s="160"/>
      <c r="E1180" s="160"/>
      <c r="F1180" s="160"/>
      <c r="G1180" s="160"/>
      <c r="H1180" s="160"/>
      <c r="I1180" s="160"/>
      <c r="J1180" s="160"/>
      <c r="K1180" s="160"/>
      <c r="L1180" s="160"/>
      <c r="M1180" s="160"/>
    </row>
    <row r="1181" spans="2:13">
      <c r="B1181" s="396"/>
      <c r="C1181" s="160"/>
      <c r="D1181" s="160"/>
      <c r="E1181" s="160"/>
      <c r="F1181" s="160"/>
      <c r="G1181" s="160"/>
      <c r="H1181" s="160"/>
      <c r="I1181" s="160"/>
      <c r="J1181" s="160"/>
      <c r="K1181" s="160"/>
      <c r="L1181" s="160"/>
      <c r="M1181" s="160"/>
    </row>
    <row r="1182" spans="2:13">
      <c r="B1182" s="396"/>
      <c r="C1182" s="160"/>
      <c r="D1182" s="160"/>
      <c r="E1182" s="160"/>
      <c r="F1182" s="160"/>
      <c r="G1182" s="160"/>
      <c r="H1182" s="160"/>
      <c r="I1182" s="160"/>
      <c r="J1182" s="160"/>
      <c r="K1182" s="160"/>
      <c r="L1182" s="160"/>
      <c r="M1182" s="160"/>
    </row>
    <row r="1183" spans="2:13">
      <c r="B1183" s="396"/>
      <c r="C1183" s="160"/>
      <c r="D1183" s="160"/>
      <c r="E1183" s="160"/>
      <c r="F1183" s="160"/>
      <c r="G1183" s="160"/>
      <c r="H1183" s="160"/>
      <c r="I1183" s="160"/>
      <c r="J1183" s="160"/>
      <c r="K1183" s="160"/>
      <c r="L1183" s="160"/>
      <c r="M1183" s="160"/>
    </row>
    <row r="1184" spans="2:13">
      <c r="B1184" s="396"/>
      <c r="C1184" s="160"/>
      <c r="D1184" s="160"/>
      <c r="E1184" s="160"/>
      <c r="F1184" s="160"/>
      <c r="G1184" s="160"/>
      <c r="H1184" s="160"/>
      <c r="I1184" s="160"/>
      <c r="J1184" s="160"/>
      <c r="K1184" s="160"/>
      <c r="L1184" s="160"/>
      <c r="M1184" s="160"/>
    </row>
    <row r="1185" spans="2:13">
      <c r="B1185" s="396"/>
      <c r="C1185" s="160"/>
      <c r="D1185" s="160"/>
      <c r="E1185" s="160"/>
      <c r="F1185" s="160"/>
      <c r="G1185" s="160"/>
      <c r="H1185" s="160"/>
      <c r="I1185" s="160"/>
      <c r="J1185" s="160"/>
      <c r="K1185" s="160"/>
      <c r="L1185" s="160"/>
      <c r="M1185" s="160"/>
    </row>
    <row r="1186" spans="2:13">
      <c r="B1186" s="396"/>
      <c r="C1186" s="160"/>
      <c r="D1186" s="160"/>
      <c r="E1186" s="160"/>
      <c r="F1186" s="160"/>
      <c r="G1186" s="160"/>
      <c r="H1186" s="160"/>
      <c r="I1186" s="160"/>
      <c r="J1186" s="160"/>
      <c r="K1186" s="160"/>
      <c r="L1186" s="160"/>
      <c r="M1186" s="160"/>
    </row>
    <row r="1187" spans="2:13">
      <c r="B1187" s="396"/>
      <c r="C1187" s="160"/>
      <c r="D1187" s="160"/>
      <c r="E1187" s="160"/>
      <c r="F1187" s="160"/>
      <c r="G1187" s="160"/>
      <c r="H1187" s="160"/>
      <c r="I1187" s="160"/>
      <c r="J1187" s="160"/>
      <c r="K1187" s="160"/>
      <c r="L1187" s="160"/>
      <c r="M1187" s="160"/>
    </row>
    <row r="1188" spans="2:13">
      <c r="B1188" s="396"/>
      <c r="C1188" s="160"/>
      <c r="D1188" s="160"/>
      <c r="E1188" s="160"/>
      <c r="F1188" s="160"/>
      <c r="G1188" s="160"/>
      <c r="H1188" s="160"/>
      <c r="I1188" s="160"/>
      <c r="J1188" s="160"/>
      <c r="K1188" s="160"/>
      <c r="L1188" s="160"/>
      <c r="M1188" s="160"/>
    </row>
    <row r="1189" spans="2:13">
      <c r="B1189" s="396"/>
      <c r="C1189" s="160"/>
      <c r="D1189" s="160"/>
      <c r="E1189" s="160"/>
      <c r="F1189" s="160"/>
      <c r="G1189" s="160"/>
      <c r="H1189" s="160"/>
      <c r="I1189" s="160"/>
      <c r="J1189" s="160"/>
      <c r="K1189" s="160"/>
      <c r="L1189" s="160"/>
      <c r="M1189" s="160"/>
    </row>
    <row r="1190" spans="2:13">
      <c r="B1190" s="396"/>
      <c r="C1190" s="160"/>
      <c r="D1190" s="160"/>
      <c r="E1190" s="160"/>
      <c r="F1190" s="160"/>
      <c r="G1190" s="160"/>
      <c r="H1190" s="160"/>
      <c r="I1190" s="160"/>
      <c r="J1190" s="160"/>
      <c r="K1190" s="160"/>
      <c r="L1190" s="160"/>
      <c r="M1190" s="160"/>
    </row>
    <row r="1191" spans="2:13">
      <c r="B1191" s="396"/>
      <c r="C1191" s="160"/>
      <c r="D1191" s="160"/>
      <c r="E1191" s="160"/>
      <c r="F1191" s="160"/>
      <c r="G1191" s="160"/>
      <c r="H1191" s="160"/>
      <c r="I1191" s="160"/>
      <c r="J1191" s="160"/>
      <c r="K1191" s="160"/>
      <c r="L1191" s="160"/>
      <c r="M1191" s="160"/>
    </row>
    <row r="1192" spans="2:13">
      <c r="B1192" s="396"/>
      <c r="C1192" s="160"/>
      <c r="D1192" s="160"/>
      <c r="E1192" s="160"/>
      <c r="F1192" s="160"/>
      <c r="G1192" s="160"/>
      <c r="H1192" s="160"/>
      <c r="I1192" s="160"/>
      <c r="J1192" s="160"/>
      <c r="K1192" s="160"/>
      <c r="L1192" s="160"/>
      <c r="M1192" s="160"/>
    </row>
    <row r="1193" spans="2:13">
      <c r="B1193" s="396"/>
      <c r="C1193" s="160"/>
      <c r="D1193" s="160"/>
      <c r="E1193" s="160"/>
      <c r="F1193" s="160"/>
      <c r="G1193" s="160"/>
      <c r="H1193" s="160"/>
      <c r="I1193" s="160"/>
      <c r="J1193" s="160"/>
      <c r="K1193" s="160"/>
      <c r="L1193" s="160"/>
      <c r="M1193" s="160"/>
    </row>
    <row r="1194" spans="2:13">
      <c r="B1194" s="396"/>
      <c r="C1194" s="160"/>
      <c r="D1194" s="160"/>
      <c r="E1194" s="160"/>
      <c r="F1194" s="160"/>
      <c r="G1194" s="160"/>
      <c r="H1194" s="160"/>
      <c r="I1194" s="160"/>
      <c r="J1194" s="160"/>
      <c r="K1194" s="160"/>
      <c r="L1194" s="160"/>
      <c r="M1194" s="160"/>
    </row>
    <row r="1195" spans="2:13">
      <c r="B1195" s="396"/>
      <c r="C1195" s="160"/>
      <c r="D1195" s="160"/>
      <c r="E1195" s="160"/>
      <c r="F1195" s="160"/>
      <c r="G1195" s="160"/>
      <c r="H1195" s="160"/>
      <c r="I1195" s="160"/>
      <c r="J1195" s="160"/>
      <c r="K1195" s="160"/>
      <c r="L1195" s="160"/>
      <c r="M1195" s="160"/>
    </row>
    <row r="1196" spans="2:13">
      <c r="B1196" s="396"/>
      <c r="C1196" s="160"/>
      <c r="D1196" s="160"/>
      <c r="E1196" s="160"/>
      <c r="F1196" s="160"/>
      <c r="G1196" s="160"/>
      <c r="H1196" s="160"/>
      <c r="I1196" s="160"/>
      <c r="J1196" s="160"/>
      <c r="K1196" s="160"/>
      <c r="L1196" s="160"/>
      <c r="M1196" s="160"/>
    </row>
    <row r="1197" spans="2:13">
      <c r="B1197" s="396"/>
      <c r="C1197" s="160"/>
      <c r="D1197" s="160"/>
      <c r="E1197" s="160"/>
      <c r="F1197" s="160"/>
      <c r="G1197" s="160"/>
      <c r="H1197" s="160"/>
      <c r="I1197" s="160"/>
      <c r="J1197" s="160"/>
      <c r="K1197" s="160"/>
      <c r="L1197" s="160"/>
      <c r="M1197" s="160"/>
    </row>
    <row r="1198" spans="2:13">
      <c r="B1198" s="396"/>
      <c r="C1198" s="160"/>
      <c r="D1198" s="160"/>
      <c r="E1198" s="160"/>
      <c r="F1198" s="160"/>
      <c r="G1198" s="160"/>
      <c r="H1198" s="160"/>
      <c r="I1198" s="160"/>
      <c r="J1198" s="160"/>
      <c r="K1198" s="160"/>
      <c r="L1198" s="160"/>
      <c r="M1198" s="160"/>
    </row>
    <row r="1199" spans="2:13">
      <c r="B1199" s="396"/>
      <c r="C1199" s="160"/>
      <c r="D1199" s="160"/>
      <c r="E1199" s="160"/>
      <c r="F1199" s="160"/>
      <c r="G1199" s="160"/>
      <c r="H1199" s="160"/>
      <c r="I1199" s="160"/>
      <c r="J1199" s="160"/>
      <c r="K1199" s="160"/>
      <c r="L1199" s="160"/>
      <c r="M1199" s="160"/>
    </row>
    <row r="1200" spans="2:13">
      <c r="B1200" s="396"/>
      <c r="C1200" s="160"/>
      <c r="D1200" s="160"/>
      <c r="E1200" s="160"/>
      <c r="F1200" s="160"/>
      <c r="G1200" s="160"/>
      <c r="H1200" s="160"/>
      <c r="I1200" s="160"/>
      <c r="J1200" s="160"/>
      <c r="K1200" s="160"/>
      <c r="L1200" s="160"/>
      <c r="M1200" s="160"/>
    </row>
    <row r="1201" spans="2:13">
      <c r="B1201" s="396"/>
      <c r="C1201" s="160"/>
      <c r="D1201" s="160"/>
      <c r="E1201" s="160"/>
      <c r="F1201" s="160"/>
      <c r="G1201" s="160"/>
      <c r="H1201" s="160"/>
      <c r="I1201" s="160"/>
      <c r="J1201" s="160"/>
      <c r="K1201" s="160"/>
      <c r="L1201" s="160"/>
      <c r="M1201" s="160"/>
    </row>
    <row r="1202" spans="2:13">
      <c r="B1202" s="396"/>
      <c r="C1202" s="160"/>
      <c r="D1202" s="160"/>
      <c r="E1202" s="160"/>
      <c r="F1202" s="160"/>
      <c r="G1202" s="160"/>
      <c r="H1202" s="160"/>
      <c r="I1202" s="160"/>
      <c r="J1202" s="160"/>
      <c r="K1202" s="160"/>
      <c r="L1202" s="160"/>
      <c r="M1202" s="160"/>
    </row>
    <row r="1203" spans="2:13">
      <c r="B1203" s="396"/>
      <c r="C1203" s="160"/>
      <c r="D1203" s="160"/>
      <c r="E1203" s="160"/>
      <c r="F1203" s="160"/>
      <c r="G1203" s="160"/>
      <c r="H1203" s="160"/>
      <c r="I1203" s="160"/>
      <c r="J1203" s="160"/>
      <c r="K1203" s="160"/>
      <c r="L1203" s="160"/>
      <c r="M1203" s="160"/>
    </row>
    <row r="1204" spans="2:13">
      <c r="B1204" s="396"/>
      <c r="C1204" s="160"/>
      <c r="D1204" s="160"/>
      <c r="E1204" s="160"/>
      <c r="F1204" s="160"/>
      <c r="G1204" s="160"/>
      <c r="H1204" s="160"/>
      <c r="I1204" s="160"/>
      <c r="J1204" s="160"/>
      <c r="K1204" s="160"/>
      <c r="L1204" s="160"/>
      <c r="M1204" s="160"/>
    </row>
    <row r="1205" spans="2:13">
      <c r="B1205" s="396"/>
      <c r="C1205" s="160"/>
      <c r="D1205" s="160"/>
      <c r="E1205" s="160"/>
      <c r="F1205" s="160"/>
      <c r="G1205" s="160"/>
      <c r="H1205" s="160"/>
      <c r="I1205" s="160"/>
      <c r="J1205" s="160"/>
      <c r="K1205" s="160"/>
      <c r="L1205" s="160"/>
      <c r="M1205" s="160"/>
    </row>
    <row r="1206" spans="2:13">
      <c r="B1206" s="396"/>
      <c r="C1206" s="160"/>
      <c r="D1206" s="160"/>
      <c r="E1206" s="160"/>
      <c r="F1206" s="160"/>
      <c r="G1206" s="160"/>
      <c r="H1206" s="160"/>
      <c r="I1206" s="160"/>
      <c r="J1206" s="160"/>
      <c r="K1206" s="160"/>
      <c r="L1206" s="160"/>
      <c r="M1206" s="160"/>
    </row>
    <row r="1207" spans="2:13">
      <c r="B1207" s="396"/>
      <c r="C1207" s="160"/>
      <c r="D1207" s="160"/>
      <c r="E1207" s="160"/>
      <c r="F1207" s="160"/>
      <c r="G1207" s="160"/>
      <c r="H1207" s="160"/>
      <c r="I1207" s="160"/>
      <c r="J1207" s="160"/>
      <c r="K1207" s="160"/>
      <c r="L1207" s="160"/>
      <c r="M1207" s="160"/>
    </row>
    <row r="1208" spans="2:13">
      <c r="B1208" s="396"/>
      <c r="C1208" s="160"/>
      <c r="D1208" s="160"/>
      <c r="E1208" s="160"/>
      <c r="F1208" s="160"/>
      <c r="G1208" s="160"/>
      <c r="H1208" s="160"/>
      <c r="I1208" s="160"/>
      <c r="J1208" s="160"/>
      <c r="K1208" s="160"/>
      <c r="L1208" s="160"/>
      <c r="M1208" s="160"/>
    </row>
    <row r="1209" spans="2:13">
      <c r="B1209" s="396"/>
      <c r="C1209" s="160"/>
      <c r="D1209" s="160"/>
      <c r="E1209" s="160"/>
      <c r="F1209" s="160"/>
      <c r="G1209" s="160"/>
      <c r="H1209" s="160"/>
      <c r="I1209" s="160"/>
      <c r="J1209" s="160"/>
      <c r="K1209" s="160"/>
      <c r="L1209" s="160"/>
      <c r="M1209" s="160"/>
    </row>
    <row r="1210" spans="2:13">
      <c r="B1210" s="396"/>
      <c r="C1210" s="160"/>
      <c r="D1210" s="160"/>
      <c r="E1210" s="160"/>
      <c r="F1210" s="160"/>
      <c r="G1210" s="160"/>
      <c r="H1210" s="160"/>
      <c r="I1210" s="160"/>
      <c r="J1210" s="160"/>
      <c r="K1210" s="160"/>
      <c r="L1210" s="160"/>
      <c r="M1210" s="160"/>
    </row>
    <row r="1211" spans="2:13">
      <c r="B1211" s="396"/>
      <c r="C1211" s="160"/>
      <c r="D1211" s="160"/>
      <c r="E1211" s="160"/>
      <c r="F1211" s="160"/>
      <c r="G1211" s="160"/>
      <c r="H1211" s="160"/>
      <c r="I1211" s="160"/>
      <c r="J1211" s="160"/>
      <c r="K1211" s="160"/>
      <c r="L1211" s="160"/>
      <c r="M1211" s="160"/>
    </row>
    <row r="1212" spans="2:13">
      <c r="B1212" s="396"/>
      <c r="C1212" s="160"/>
      <c r="D1212" s="160"/>
      <c r="E1212" s="160"/>
      <c r="F1212" s="160"/>
      <c r="G1212" s="160"/>
      <c r="H1212" s="160"/>
      <c r="I1212" s="160"/>
      <c r="J1212" s="160"/>
      <c r="K1212" s="160"/>
      <c r="L1212" s="160"/>
      <c r="M1212" s="160"/>
    </row>
    <row r="1213" spans="2:13">
      <c r="B1213" s="396"/>
      <c r="C1213" s="160"/>
      <c r="D1213" s="160"/>
      <c r="E1213" s="160"/>
      <c r="F1213" s="160"/>
      <c r="G1213" s="160"/>
      <c r="H1213" s="160"/>
      <c r="I1213" s="160"/>
      <c r="J1213" s="160"/>
      <c r="K1213" s="160"/>
      <c r="L1213" s="160"/>
      <c r="M1213" s="160"/>
    </row>
    <row r="1214" spans="2:13">
      <c r="B1214" s="396"/>
      <c r="C1214" s="160"/>
      <c r="D1214" s="160"/>
      <c r="E1214" s="160"/>
      <c r="F1214" s="160"/>
      <c r="G1214" s="160"/>
      <c r="H1214" s="160"/>
      <c r="I1214" s="160"/>
      <c r="J1214" s="160"/>
      <c r="K1214" s="160"/>
      <c r="L1214" s="160"/>
      <c r="M1214" s="160"/>
    </row>
    <row r="1215" spans="2:13">
      <c r="B1215" s="396"/>
      <c r="C1215" s="160"/>
      <c r="D1215" s="160"/>
      <c r="E1215" s="160"/>
      <c r="F1215" s="160"/>
      <c r="G1215" s="160"/>
      <c r="H1215" s="160"/>
      <c r="I1215" s="160"/>
      <c r="J1215" s="160"/>
      <c r="K1215" s="160"/>
      <c r="L1215" s="160"/>
      <c r="M1215" s="160"/>
    </row>
    <row r="1216" spans="2:13">
      <c r="B1216" s="396"/>
      <c r="C1216" s="160"/>
      <c r="D1216" s="160"/>
      <c r="E1216" s="160"/>
      <c r="F1216" s="160"/>
      <c r="G1216" s="160"/>
      <c r="H1216" s="160"/>
      <c r="I1216" s="160"/>
      <c r="J1216" s="160"/>
      <c r="K1216" s="160"/>
      <c r="L1216" s="160"/>
      <c r="M1216" s="160"/>
    </row>
    <row r="1217" spans="2:13">
      <c r="B1217" s="396"/>
      <c r="C1217" s="160"/>
      <c r="D1217" s="160"/>
      <c r="E1217" s="160"/>
      <c r="F1217" s="160"/>
      <c r="G1217" s="160"/>
      <c r="H1217" s="160"/>
      <c r="I1217" s="160"/>
      <c r="J1217" s="160"/>
      <c r="K1217" s="160"/>
      <c r="L1217" s="160"/>
      <c r="M1217" s="160"/>
    </row>
    <row r="1218" spans="2:13">
      <c r="B1218" s="396"/>
      <c r="C1218" s="160"/>
      <c r="D1218" s="160"/>
      <c r="E1218" s="160"/>
      <c r="F1218" s="160"/>
      <c r="G1218" s="160"/>
      <c r="H1218" s="160"/>
      <c r="I1218" s="160"/>
      <c r="J1218" s="160"/>
      <c r="K1218" s="160"/>
      <c r="L1218" s="160"/>
      <c r="M1218" s="160"/>
    </row>
    <row r="1219" spans="2:13">
      <c r="B1219" s="396"/>
      <c r="C1219" s="160"/>
      <c r="D1219" s="160"/>
      <c r="E1219" s="160"/>
      <c r="F1219" s="160"/>
      <c r="G1219" s="160"/>
      <c r="H1219" s="160"/>
      <c r="I1219" s="160"/>
      <c r="J1219" s="160"/>
      <c r="K1219" s="160"/>
      <c r="L1219" s="160"/>
      <c r="M1219" s="160"/>
    </row>
    <row r="1220" spans="2:13">
      <c r="B1220" s="396"/>
      <c r="C1220" s="160"/>
      <c r="D1220" s="160"/>
      <c r="E1220" s="160"/>
      <c r="F1220" s="160"/>
      <c r="G1220" s="160"/>
      <c r="H1220" s="160"/>
      <c r="I1220" s="160"/>
      <c r="J1220" s="160"/>
      <c r="K1220" s="160"/>
      <c r="L1220" s="160"/>
      <c r="M1220" s="160"/>
    </row>
    <row r="1221" spans="2:13">
      <c r="B1221" s="396"/>
      <c r="C1221" s="160"/>
      <c r="D1221" s="160"/>
      <c r="E1221" s="160"/>
      <c r="F1221" s="160"/>
      <c r="G1221" s="160"/>
      <c r="H1221" s="160"/>
      <c r="I1221" s="160"/>
      <c r="J1221" s="160"/>
      <c r="K1221" s="160"/>
      <c r="L1221" s="160"/>
      <c r="M1221" s="160"/>
    </row>
    <row r="1222" spans="2:13">
      <c r="B1222" s="396"/>
      <c r="C1222" s="160"/>
      <c r="D1222" s="160"/>
      <c r="E1222" s="160"/>
      <c r="F1222" s="160"/>
      <c r="G1222" s="160"/>
      <c r="H1222" s="160"/>
      <c r="I1222" s="160"/>
      <c r="J1222" s="160"/>
      <c r="K1222" s="160"/>
      <c r="L1222" s="160"/>
      <c r="M1222" s="160"/>
    </row>
    <row r="1223" spans="2:13">
      <c r="B1223" s="396"/>
      <c r="C1223" s="160"/>
      <c r="D1223" s="160"/>
      <c r="E1223" s="160"/>
      <c r="F1223" s="160"/>
      <c r="G1223" s="160"/>
      <c r="H1223" s="160"/>
      <c r="I1223" s="160"/>
      <c r="J1223" s="160"/>
      <c r="K1223" s="160"/>
      <c r="L1223" s="160"/>
      <c r="M1223" s="160"/>
    </row>
    <row r="1224" spans="2:13">
      <c r="B1224" s="396"/>
      <c r="C1224" s="160"/>
      <c r="D1224" s="160"/>
      <c r="E1224" s="160"/>
      <c r="F1224" s="160"/>
      <c r="G1224" s="160"/>
      <c r="H1224" s="160"/>
      <c r="I1224" s="160"/>
      <c r="J1224" s="160"/>
      <c r="K1224" s="160"/>
      <c r="L1224" s="160"/>
      <c r="M1224" s="160"/>
    </row>
    <row r="1225" spans="2:13">
      <c r="B1225" s="396"/>
      <c r="C1225" s="160"/>
      <c r="D1225" s="160"/>
      <c r="E1225" s="160"/>
      <c r="F1225" s="160"/>
      <c r="G1225" s="160"/>
      <c r="H1225" s="160"/>
      <c r="I1225" s="160"/>
      <c r="J1225" s="160"/>
      <c r="K1225" s="160"/>
      <c r="L1225" s="160"/>
      <c r="M1225" s="160"/>
    </row>
    <row r="1226" spans="2:13">
      <c r="B1226" s="396"/>
      <c r="C1226" s="160"/>
      <c r="D1226" s="160"/>
      <c r="E1226" s="160"/>
      <c r="F1226" s="160"/>
      <c r="G1226" s="160"/>
      <c r="H1226" s="160"/>
      <c r="I1226" s="160"/>
      <c r="J1226" s="160"/>
      <c r="K1226" s="160"/>
      <c r="L1226" s="160"/>
      <c r="M1226" s="160"/>
    </row>
    <row r="1227" spans="2:13">
      <c r="B1227" s="396"/>
      <c r="C1227" s="160"/>
      <c r="D1227" s="160"/>
      <c r="E1227" s="160"/>
      <c r="F1227" s="160"/>
      <c r="G1227" s="160"/>
      <c r="H1227" s="160"/>
      <c r="I1227" s="160"/>
      <c r="J1227" s="160"/>
      <c r="K1227" s="160"/>
      <c r="L1227" s="160"/>
      <c r="M1227" s="160"/>
    </row>
    <row r="1228" spans="2:13">
      <c r="I1228" s="160"/>
      <c r="J1228" s="160"/>
    </row>
  </sheetData>
  <mergeCells count="23">
    <mergeCell ref="G249:H249"/>
    <mergeCell ref="G231:H231"/>
    <mergeCell ref="D281:K282"/>
    <mergeCell ref="D350:J350"/>
    <mergeCell ref="B21:I22"/>
    <mergeCell ref="I57:J57"/>
    <mergeCell ref="I60:J60"/>
    <mergeCell ref="I121:J121"/>
    <mergeCell ref="I124:J124"/>
    <mergeCell ref="D39:L39"/>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0"/>
  <sheetViews>
    <sheetView topLeftCell="A34" zoomScale="90" zoomScaleNormal="90" zoomScaleSheetLayoutView="70" workbookViewId="0">
      <selection activeCell="F49" sqref="F49:F61"/>
    </sheetView>
  </sheetViews>
  <sheetFormatPr defaultColWidth="11.42578125" defaultRowHeight="12.75"/>
  <cols>
    <col min="1" max="1" width="10.28515625" style="1117" customWidth="1"/>
    <col min="2" max="2" width="57.42578125" style="1070" customWidth="1"/>
    <col min="3" max="3" width="26.7109375" style="1070" bestFit="1" customWidth="1"/>
    <col min="4" max="4" width="25" style="1070" customWidth="1"/>
    <col min="5" max="11" width="20.28515625" style="1070" customWidth="1"/>
    <col min="12" max="12" width="20" style="1070" customWidth="1"/>
    <col min="13" max="14" width="15.140625" style="1070" customWidth="1"/>
    <col min="15" max="16384" width="11.42578125" style="1070"/>
  </cols>
  <sheetData>
    <row r="1" spans="1:12" ht="15">
      <c r="A1" s="1501" t="str">
        <f>TCOS!F5</f>
        <v>AEPTCo subsidiaries in PJM</v>
      </c>
      <c r="B1" s="1501" t="s">
        <v>331</v>
      </c>
      <c r="C1" s="1501" t="s">
        <v>331</v>
      </c>
      <c r="D1" s="1501" t="s">
        <v>331</v>
      </c>
      <c r="E1" s="1501" t="s">
        <v>331</v>
      </c>
      <c r="F1" s="1501" t="s">
        <v>331</v>
      </c>
      <c r="G1" s="1501" t="s">
        <v>331</v>
      </c>
      <c r="H1" s="1069"/>
      <c r="I1" s="1069"/>
    </row>
    <row r="2" spans="1:12" ht="15">
      <c r="A2" s="1502" t="str">
        <f>"Cost of Service Formula Rate Using Actual/Projected FF1 Balances"</f>
        <v>Cost of Service Formula Rate Using Actual/Projected FF1 Balances</v>
      </c>
      <c r="B2" s="1502"/>
      <c r="C2" s="1502"/>
      <c r="D2" s="1502"/>
      <c r="E2" s="1502"/>
      <c r="F2" s="1502"/>
      <c r="G2" s="1502"/>
      <c r="H2" s="1069"/>
      <c r="I2" s="1069"/>
      <c r="J2" s="1069"/>
      <c r="L2" s="1071"/>
    </row>
    <row r="3" spans="1:12" ht="15">
      <c r="A3" s="1502" t="s">
        <v>701</v>
      </c>
      <c r="B3" s="1502"/>
      <c r="C3" s="1502"/>
      <c r="D3" s="1502"/>
      <c r="E3" s="1502"/>
      <c r="F3" s="1502"/>
      <c r="G3" s="1502"/>
      <c r="H3" s="1069"/>
      <c r="I3" s="1069"/>
      <c r="J3" s="1069"/>
    </row>
    <row r="4" spans="1:12" ht="15">
      <c r="A4" s="1508" t="str">
        <f>TCOS!F9</f>
        <v>AEP Indiana Michigan Transmission Company</v>
      </c>
      <c r="B4" s="1508"/>
      <c r="C4" s="1508"/>
      <c r="D4" s="1508"/>
      <c r="E4" s="1508"/>
      <c r="F4" s="1508"/>
      <c r="G4" s="1508"/>
      <c r="H4" s="1069"/>
      <c r="I4" s="1069"/>
      <c r="J4" s="1069"/>
    </row>
    <row r="5" spans="1:12">
      <c r="A5" s="1069"/>
      <c r="B5" s="1072"/>
      <c r="C5" s="1072"/>
      <c r="D5" s="1072"/>
      <c r="E5" s="1073"/>
      <c r="F5" s="1074"/>
      <c r="H5" s="1074"/>
      <c r="J5" s="1074"/>
      <c r="L5" s="1074"/>
    </row>
    <row r="6" spans="1:12" ht="12.75" customHeight="1">
      <c r="A6" s="1069"/>
      <c r="B6" s="1072"/>
      <c r="C6" s="1503" t="s">
        <v>702</v>
      </c>
      <c r="D6" s="1504"/>
      <c r="E6" s="1504"/>
      <c r="F6" s="1504"/>
      <c r="G6" s="1505"/>
      <c r="H6" s="1075"/>
      <c r="I6" s="1075"/>
      <c r="J6" s="1075"/>
      <c r="K6" s="1075"/>
      <c r="L6" s="4"/>
    </row>
    <row r="7" spans="1:12" s="1080" customFormat="1" ht="25.5">
      <c r="A7" s="1076" t="s">
        <v>703</v>
      </c>
      <c r="B7" s="1077" t="s">
        <v>704</v>
      </c>
      <c r="C7" s="1078" t="s">
        <v>417</v>
      </c>
      <c r="D7" s="1078" t="s">
        <v>705</v>
      </c>
      <c r="E7" s="1078" t="s">
        <v>138</v>
      </c>
      <c r="F7" s="1078" t="s">
        <v>706</v>
      </c>
      <c r="G7" s="1077" t="s">
        <v>707</v>
      </c>
      <c r="H7" s="7"/>
      <c r="I7" s="1079"/>
      <c r="J7" s="1079"/>
      <c r="K7" s="1079"/>
      <c r="L7" s="4"/>
    </row>
    <row r="8" spans="1:12" s="1085" customFormat="1">
      <c r="A8" s="1081"/>
      <c r="B8" s="1082" t="s">
        <v>708</v>
      </c>
      <c r="C8" s="1083" t="s">
        <v>709</v>
      </c>
      <c r="D8" s="1083" t="s">
        <v>710</v>
      </c>
      <c r="E8" s="1083" t="s">
        <v>711</v>
      </c>
      <c r="F8" s="1083" t="s">
        <v>712</v>
      </c>
      <c r="G8" s="1084" t="s">
        <v>713</v>
      </c>
      <c r="H8"/>
      <c r="L8" s="4"/>
    </row>
    <row r="9" spans="1:12" s="1085" customFormat="1" ht="44.25" customHeight="1">
      <c r="A9" s="1081"/>
      <c r="B9" s="1082" t="s">
        <v>714</v>
      </c>
      <c r="C9" s="1086" t="s">
        <v>233</v>
      </c>
      <c r="D9" s="1086" t="s">
        <v>234</v>
      </c>
      <c r="E9" s="1086" t="s">
        <v>235</v>
      </c>
      <c r="F9" s="1086" t="s">
        <v>236</v>
      </c>
      <c r="G9" s="1087" t="s">
        <v>237</v>
      </c>
      <c r="H9"/>
      <c r="L9" s="4"/>
    </row>
    <row r="10" spans="1:12">
      <c r="A10" s="1081">
        <v>1</v>
      </c>
      <c r="B10" s="1088" t="s">
        <v>715</v>
      </c>
      <c r="C10" s="1169">
        <v>2705758565</v>
      </c>
      <c r="D10" s="1089">
        <v>0</v>
      </c>
      <c r="E10" s="1169">
        <v>52143826</v>
      </c>
      <c r="F10" s="1089">
        <v>0</v>
      </c>
      <c r="G10" s="1324">
        <v>26434593</v>
      </c>
      <c r="H10"/>
      <c r="L10" s="4"/>
    </row>
    <row r="11" spans="1:12">
      <c r="A11" s="1081">
        <f>+A10+1</f>
        <v>2</v>
      </c>
      <c r="B11" s="1088" t="s">
        <v>576</v>
      </c>
      <c r="C11" s="1169">
        <v>2711044669.1599998</v>
      </c>
      <c r="D11" s="1300">
        <v>0</v>
      </c>
      <c r="E11" s="1169">
        <v>54893379.189999998</v>
      </c>
      <c r="F11" s="1300">
        <v>0</v>
      </c>
      <c r="G11" s="1325">
        <v>27553093.489999998</v>
      </c>
      <c r="H11"/>
      <c r="L11" s="4"/>
    </row>
    <row r="12" spans="1:12">
      <c r="A12" s="1081">
        <f t="shared" ref="A12:A23" si="0">+A11+1</f>
        <v>3</v>
      </c>
      <c r="B12" s="1090" t="s">
        <v>577</v>
      </c>
      <c r="C12" s="1169">
        <v>2716513228.1199999</v>
      </c>
      <c r="D12" s="1300">
        <v>0</v>
      </c>
      <c r="E12" s="1169">
        <v>52877437.060000002</v>
      </c>
      <c r="F12" s="1300">
        <v>0</v>
      </c>
      <c r="G12" s="1325">
        <v>28043646.460000001</v>
      </c>
      <c r="H12"/>
      <c r="L12" s="4"/>
    </row>
    <row r="13" spans="1:12">
      <c r="A13" s="1081">
        <f t="shared" si="0"/>
        <v>4</v>
      </c>
      <c r="B13" s="1090" t="s">
        <v>716</v>
      </c>
      <c r="C13" s="1169">
        <v>2750758218.71</v>
      </c>
      <c r="D13" s="1300">
        <v>0</v>
      </c>
      <c r="E13" s="1169">
        <v>54301078.100000001</v>
      </c>
      <c r="F13" s="1300">
        <v>0</v>
      </c>
      <c r="G13" s="1325">
        <v>28028490.710000001</v>
      </c>
      <c r="H13"/>
      <c r="L13" s="4"/>
    </row>
    <row r="14" spans="1:12">
      <c r="A14" s="1081">
        <f t="shared" si="0"/>
        <v>5</v>
      </c>
      <c r="B14" s="1090" t="s">
        <v>579</v>
      </c>
      <c r="C14" s="1169">
        <v>2779474036.3899999</v>
      </c>
      <c r="D14" s="1300">
        <v>0</v>
      </c>
      <c r="E14" s="1169">
        <v>54560315.219999999</v>
      </c>
      <c r="F14" s="1300">
        <v>0</v>
      </c>
      <c r="G14" s="1325">
        <v>28433206.48</v>
      </c>
      <c r="H14"/>
      <c r="L14" s="4"/>
    </row>
    <row r="15" spans="1:12">
      <c r="A15" s="1081">
        <f t="shared" si="0"/>
        <v>6</v>
      </c>
      <c r="B15" s="1090" t="s">
        <v>580</v>
      </c>
      <c r="C15" s="1169">
        <v>2794725561.9400001</v>
      </c>
      <c r="D15" s="1300">
        <v>0</v>
      </c>
      <c r="E15" s="1169">
        <v>54637056.490000002</v>
      </c>
      <c r="F15" s="1300">
        <v>0</v>
      </c>
      <c r="G15" s="1325">
        <v>29015827.449999999</v>
      </c>
      <c r="H15"/>
      <c r="L15" s="4"/>
    </row>
    <row r="16" spans="1:12">
      <c r="A16" s="1081">
        <f t="shared" si="0"/>
        <v>7</v>
      </c>
      <c r="B16" s="1090" t="s">
        <v>581</v>
      </c>
      <c r="C16" s="1169">
        <v>2898392401.0300002</v>
      </c>
      <c r="D16" s="1300">
        <v>0</v>
      </c>
      <c r="E16" s="1169">
        <v>54929729.020000003</v>
      </c>
      <c r="F16" s="1300">
        <v>0</v>
      </c>
      <c r="G16" s="1325">
        <v>29072383.199999999</v>
      </c>
      <c r="H16"/>
      <c r="L16" s="4"/>
    </row>
    <row r="17" spans="1:12">
      <c r="A17" s="1081">
        <f t="shared" si="0"/>
        <v>8</v>
      </c>
      <c r="B17" s="1090" t="s">
        <v>582</v>
      </c>
      <c r="C17" s="1169">
        <v>2907674847.8699999</v>
      </c>
      <c r="D17" s="1300">
        <v>0</v>
      </c>
      <c r="E17" s="1169">
        <v>54985221</v>
      </c>
      <c r="F17" s="1300">
        <v>0</v>
      </c>
      <c r="G17" s="1325">
        <v>29717968.969999999</v>
      </c>
      <c r="H17"/>
      <c r="L17" s="4"/>
    </row>
    <row r="18" spans="1:12">
      <c r="A18" s="1081">
        <f t="shared" si="0"/>
        <v>9</v>
      </c>
      <c r="B18" s="1090" t="s">
        <v>717</v>
      </c>
      <c r="C18" s="1169">
        <v>2934099515.4499998</v>
      </c>
      <c r="D18" s="1300">
        <v>0</v>
      </c>
      <c r="E18" s="1169">
        <v>55078133.579999998</v>
      </c>
      <c r="F18" s="1300">
        <v>0</v>
      </c>
      <c r="G18" s="1325">
        <v>30326231.699999999</v>
      </c>
      <c r="H18"/>
      <c r="L18" s="4"/>
    </row>
    <row r="19" spans="1:12">
      <c r="A19" s="1081">
        <f t="shared" si="0"/>
        <v>10</v>
      </c>
      <c r="B19" s="1090" t="s">
        <v>584</v>
      </c>
      <c r="C19" s="1169">
        <v>2945109461.1100001</v>
      </c>
      <c r="D19" s="1300">
        <v>0</v>
      </c>
      <c r="E19" s="1169">
        <v>55740206.520000003</v>
      </c>
      <c r="F19" s="1300">
        <v>0</v>
      </c>
      <c r="G19" s="1325">
        <v>30439809.620000001</v>
      </c>
      <c r="H19"/>
      <c r="L19" s="4"/>
    </row>
    <row r="20" spans="1:12">
      <c r="A20" s="1081">
        <f t="shared" si="0"/>
        <v>11</v>
      </c>
      <c r="B20" s="1090" t="s">
        <v>585</v>
      </c>
      <c r="C20" s="1169">
        <v>2958921448.8299999</v>
      </c>
      <c r="D20" s="1300">
        <v>0</v>
      </c>
      <c r="E20" s="1169">
        <v>55793705.850000001</v>
      </c>
      <c r="F20" s="1300">
        <v>0</v>
      </c>
      <c r="G20" s="1325">
        <v>30865816.239999998</v>
      </c>
      <c r="H20"/>
      <c r="L20" s="4"/>
    </row>
    <row r="21" spans="1:12">
      <c r="A21" s="1081">
        <f t="shared" si="0"/>
        <v>12</v>
      </c>
      <c r="B21" s="1090" t="s">
        <v>586</v>
      </c>
      <c r="C21" s="1169">
        <v>2971910610.27</v>
      </c>
      <c r="D21" s="1300">
        <v>0</v>
      </c>
      <c r="E21" s="1169">
        <v>55867595.450000003</v>
      </c>
      <c r="F21" s="1300">
        <v>0</v>
      </c>
      <c r="G21" s="1325">
        <v>31356394.719999999</v>
      </c>
      <c r="H21"/>
      <c r="L21" s="4"/>
    </row>
    <row r="22" spans="1:12">
      <c r="A22" s="1091">
        <f t="shared" si="0"/>
        <v>13</v>
      </c>
      <c r="B22" s="1092" t="s">
        <v>718</v>
      </c>
      <c r="C22" s="1169">
        <v>3055969084.7800002</v>
      </c>
      <c r="D22" s="1089">
        <v>0</v>
      </c>
      <c r="E22" s="1169">
        <v>56114145.650000006</v>
      </c>
      <c r="F22" s="1089">
        <v>0</v>
      </c>
      <c r="G22" s="1326">
        <v>31110413.030000001</v>
      </c>
      <c r="H22"/>
      <c r="L22" s="4"/>
    </row>
    <row r="23" spans="1:12" ht="13.5" thickBot="1">
      <c r="A23" s="1091">
        <f t="shared" si="0"/>
        <v>14</v>
      </c>
      <c r="B23" s="1093" t="s">
        <v>719</v>
      </c>
      <c r="C23" s="1094">
        <f>SUM(C10:C22)/13</f>
        <v>2856180896.0507693</v>
      </c>
      <c r="D23" s="1094">
        <f>SUM(D10:D22)/13</f>
        <v>0</v>
      </c>
      <c r="E23" s="1094">
        <f>SUM(E10:E22)/13</f>
        <v>54763217.625384614</v>
      </c>
      <c r="F23" s="1094">
        <f>SUM(F10:F22)/13</f>
        <v>0</v>
      </c>
      <c r="G23" s="1095">
        <f>SUM(G10:G22)/13</f>
        <v>29261375.005384609</v>
      </c>
      <c r="H23"/>
      <c r="L23" s="4"/>
    </row>
    <row r="24" spans="1:12" ht="13.5" thickTop="1">
      <c r="A24" s="1069"/>
      <c r="B24" s="1096"/>
      <c r="C24" s="1097"/>
      <c r="D24" s="1098"/>
      <c r="E24" s="1098"/>
      <c r="F24" s="1098"/>
      <c r="G24" s="1097"/>
      <c r="H24" s="1097"/>
      <c r="I24" s="1097"/>
      <c r="J24" s="4"/>
      <c r="K24" s="4"/>
      <c r="L24" s="4"/>
    </row>
    <row r="25" spans="1:12" ht="12.75" customHeight="1">
      <c r="A25" s="1069"/>
      <c r="B25" s="1072"/>
      <c r="C25" s="1506" t="s">
        <v>720</v>
      </c>
      <c r="D25" s="1507"/>
      <c r="E25" s="1507"/>
      <c r="F25" s="1507"/>
      <c r="G25" s="1507"/>
      <c r="H25"/>
      <c r="I25"/>
      <c r="J25"/>
      <c r="K25"/>
      <c r="L25" s="4"/>
    </row>
    <row r="26" spans="1:12" s="1080" customFormat="1" ht="25.5">
      <c r="A26" s="1076" t="s">
        <v>703</v>
      </c>
      <c r="B26" s="1077" t="s">
        <v>704</v>
      </c>
      <c r="C26" s="1078" t="s">
        <v>417</v>
      </c>
      <c r="D26" s="1078" t="s">
        <v>705</v>
      </c>
      <c r="E26" s="1078" t="s">
        <v>138</v>
      </c>
      <c r="F26" s="1078" t="s">
        <v>706</v>
      </c>
      <c r="G26" s="1099" t="s">
        <v>707</v>
      </c>
      <c r="H26"/>
      <c r="I26"/>
      <c r="J26"/>
      <c r="K26"/>
      <c r="L26" s="4"/>
    </row>
    <row r="27" spans="1:12" s="1085" customFormat="1">
      <c r="A27" s="1081"/>
      <c r="B27" s="1082" t="s">
        <v>708</v>
      </c>
      <c r="C27" s="1083" t="s">
        <v>709</v>
      </c>
      <c r="D27" s="1083" t="s">
        <v>710</v>
      </c>
      <c r="E27" s="1083" t="s">
        <v>711</v>
      </c>
      <c r="F27" s="1083" t="s">
        <v>712</v>
      </c>
      <c r="G27" s="1084" t="s">
        <v>713</v>
      </c>
      <c r="H27"/>
      <c r="I27"/>
      <c r="J27"/>
      <c r="K27"/>
      <c r="L27" s="4"/>
    </row>
    <row r="28" spans="1:12" s="1085" customFormat="1" ht="44.25" customHeight="1">
      <c r="A28" s="1081"/>
      <c r="B28" s="1082" t="s">
        <v>714</v>
      </c>
      <c r="C28" s="1086" t="s">
        <v>182</v>
      </c>
      <c r="D28" s="1086" t="str">
        <f>"Company Records (Included in total in Column "&amp;C27&amp;")"</f>
        <v>Company Records (Included in total in Column (d))</v>
      </c>
      <c r="E28" s="1086" t="s">
        <v>10</v>
      </c>
      <c r="F28" s="1086" t="str">
        <f>"Company Records (Included in total in Column "&amp;E27&amp;")"</f>
        <v>Company Records (Included in total in Column (h))</v>
      </c>
      <c r="G28" s="1087" t="s">
        <v>304</v>
      </c>
      <c r="H28"/>
      <c r="I28"/>
      <c r="J28"/>
      <c r="K28"/>
      <c r="L28" s="4"/>
    </row>
    <row r="29" spans="1:12">
      <c r="A29" s="1081">
        <f>+A23+1</f>
        <v>15</v>
      </c>
      <c r="B29" s="1088" t="s">
        <v>715</v>
      </c>
      <c r="C29" s="1169">
        <v>159784539.28999999</v>
      </c>
      <c r="D29" s="1089">
        <v>0</v>
      </c>
      <c r="E29" s="1169">
        <v>1287686.1200000001</v>
      </c>
      <c r="F29" s="1089">
        <v>0</v>
      </c>
      <c r="G29" s="1324">
        <v>8952782</v>
      </c>
      <c r="H29"/>
      <c r="I29"/>
      <c r="J29"/>
      <c r="K29"/>
      <c r="L29" s="4"/>
    </row>
    <row r="30" spans="1:12">
      <c r="A30" s="1081">
        <f>+A29+1</f>
        <v>16</v>
      </c>
      <c r="B30" s="1088" t="s">
        <v>576</v>
      </c>
      <c r="C30" s="1169">
        <v>165552716.72</v>
      </c>
      <c r="D30" s="1300">
        <v>0</v>
      </c>
      <c r="E30" s="1169">
        <v>1382882.93</v>
      </c>
      <c r="F30" s="1300">
        <v>0</v>
      </c>
      <c r="G30" s="1325">
        <v>9343169.8000000007</v>
      </c>
      <c r="H30"/>
      <c r="I30"/>
      <c r="J30"/>
      <c r="K30"/>
      <c r="L30" s="4"/>
    </row>
    <row r="31" spans="1:12">
      <c r="A31" s="1081">
        <f t="shared" ref="A31:A42" si="1">+A30+1</f>
        <v>17</v>
      </c>
      <c r="B31" s="1090" t="s">
        <v>577</v>
      </c>
      <c r="C31" s="1169">
        <v>171346653.19999999</v>
      </c>
      <c r="D31" s="1300">
        <v>0</v>
      </c>
      <c r="E31" s="1169">
        <v>1482935.73</v>
      </c>
      <c r="F31" s="1300">
        <v>0</v>
      </c>
      <c r="G31" s="1325">
        <v>9752199.8599999994</v>
      </c>
      <c r="H31"/>
      <c r="I31"/>
      <c r="J31"/>
      <c r="K31"/>
      <c r="L31" s="4"/>
    </row>
    <row r="32" spans="1:12">
      <c r="A32" s="1081">
        <f t="shared" si="1"/>
        <v>18</v>
      </c>
      <c r="B32" s="1090" t="s">
        <v>716</v>
      </c>
      <c r="C32" s="1169">
        <v>177178841.28</v>
      </c>
      <c r="D32" s="1300">
        <v>0</v>
      </c>
      <c r="E32" s="1169">
        <v>1579460.55</v>
      </c>
      <c r="F32" s="1300">
        <v>0</v>
      </c>
      <c r="G32" s="1325">
        <v>9783922.2799999993</v>
      </c>
      <c r="H32"/>
      <c r="I32"/>
      <c r="J32"/>
      <c r="K32"/>
      <c r="L32" s="4"/>
    </row>
    <row r="33" spans="1:12">
      <c r="A33" s="1081">
        <f t="shared" si="1"/>
        <v>19</v>
      </c>
      <c r="B33" s="1090" t="s">
        <v>579</v>
      </c>
      <c r="C33" s="1169">
        <v>183065829.59</v>
      </c>
      <c r="D33" s="1300">
        <v>0</v>
      </c>
      <c r="E33" s="1169">
        <v>1678522.4</v>
      </c>
      <c r="F33" s="1300">
        <v>0</v>
      </c>
      <c r="G33" s="1325">
        <v>10200875.630000001</v>
      </c>
      <c r="H33"/>
      <c r="I33"/>
      <c r="J33"/>
      <c r="K33"/>
      <c r="L33" s="4"/>
    </row>
    <row r="34" spans="1:12">
      <c r="A34" s="1081">
        <f t="shared" si="1"/>
        <v>20</v>
      </c>
      <c r="B34" s="1090" t="s">
        <v>580</v>
      </c>
      <c r="C34" s="1169">
        <v>189753774.34999999</v>
      </c>
      <c r="D34" s="1300">
        <v>0</v>
      </c>
      <c r="E34" s="1169">
        <v>1778048.02</v>
      </c>
      <c r="F34" s="1300">
        <v>0</v>
      </c>
      <c r="G34" s="1325">
        <v>10624574.25</v>
      </c>
      <c r="H34"/>
      <c r="I34"/>
      <c r="J34"/>
      <c r="K34"/>
      <c r="L34" s="4"/>
    </row>
    <row r="35" spans="1:12">
      <c r="A35" s="1081">
        <f t="shared" si="1"/>
        <v>21</v>
      </c>
      <c r="B35" s="1090" t="s">
        <v>581</v>
      </c>
      <c r="C35" s="1169">
        <v>195593006.06999999</v>
      </c>
      <c r="D35" s="1300">
        <v>0</v>
      </c>
      <c r="E35" s="1169">
        <v>1877712.26</v>
      </c>
      <c r="F35" s="1300">
        <v>0</v>
      </c>
      <c r="G35" s="1325">
        <v>10712417.57</v>
      </c>
      <c r="H35"/>
      <c r="I35"/>
      <c r="J35"/>
      <c r="K35"/>
      <c r="L35" s="4"/>
    </row>
    <row r="36" spans="1:12">
      <c r="A36" s="1081">
        <f t="shared" si="1"/>
        <v>22</v>
      </c>
      <c r="B36" s="1090" t="s">
        <v>582</v>
      </c>
      <c r="C36" s="1169">
        <v>201875552</v>
      </c>
      <c r="D36" s="1300">
        <v>0</v>
      </c>
      <c r="E36" s="1169">
        <v>1978011.12</v>
      </c>
      <c r="F36" s="1300">
        <v>0</v>
      </c>
      <c r="G36" s="1325">
        <v>11146769.130000001</v>
      </c>
      <c r="H36"/>
      <c r="I36"/>
      <c r="J36"/>
      <c r="K36"/>
      <c r="L36" s="4"/>
    </row>
    <row r="37" spans="1:12">
      <c r="A37" s="1081">
        <f t="shared" si="1"/>
        <v>23</v>
      </c>
      <c r="B37" s="1090" t="s">
        <v>717</v>
      </c>
      <c r="C37" s="1169">
        <v>207139284.75999999</v>
      </c>
      <c r="D37" s="1300">
        <v>0</v>
      </c>
      <c r="E37" s="1169">
        <v>2078461</v>
      </c>
      <c r="F37" s="1300">
        <v>0</v>
      </c>
      <c r="G37" s="1325">
        <v>11591880.449999999</v>
      </c>
      <c r="H37"/>
      <c r="I37"/>
      <c r="J37"/>
      <c r="K37"/>
      <c r="L37" s="4"/>
    </row>
    <row r="38" spans="1:12">
      <c r="A38" s="1081">
        <f t="shared" si="1"/>
        <v>24</v>
      </c>
      <c r="B38" s="1090" t="s">
        <v>584</v>
      </c>
      <c r="C38" s="1169">
        <v>213207041.09</v>
      </c>
      <c r="D38" s="1300">
        <v>0</v>
      </c>
      <c r="E38" s="1169">
        <v>2179202.04</v>
      </c>
      <c r="F38" s="1300">
        <v>0</v>
      </c>
      <c r="G38" s="1325">
        <v>11682224.92</v>
      </c>
      <c r="H38"/>
      <c r="I38"/>
      <c r="J38"/>
      <c r="K38"/>
      <c r="L38" s="4"/>
    </row>
    <row r="39" spans="1:12">
      <c r="A39" s="1081">
        <f t="shared" si="1"/>
        <v>25</v>
      </c>
      <c r="B39" s="1090" t="s">
        <v>585</v>
      </c>
      <c r="C39" s="1169">
        <v>219282477.90000001</v>
      </c>
      <c r="D39" s="1300">
        <v>0</v>
      </c>
      <c r="E39" s="1169">
        <v>2280703.67</v>
      </c>
      <c r="F39" s="1300">
        <v>0</v>
      </c>
      <c r="G39" s="1325">
        <v>12139366.92</v>
      </c>
      <c r="H39"/>
      <c r="I39"/>
      <c r="J39"/>
      <c r="K39"/>
      <c r="L39" s="4"/>
    </row>
    <row r="40" spans="1:12">
      <c r="A40" s="1081">
        <f t="shared" si="1"/>
        <v>26</v>
      </c>
      <c r="B40" s="1090" t="s">
        <v>586</v>
      </c>
      <c r="C40" s="1169">
        <v>225490377.96000001</v>
      </c>
      <c r="D40" s="1300">
        <v>0</v>
      </c>
      <c r="E40" s="1169">
        <v>2382314.73</v>
      </c>
      <c r="F40" s="1300">
        <v>0</v>
      </c>
      <c r="G40" s="1325">
        <v>12603609.029999999</v>
      </c>
      <c r="H40"/>
      <c r="I40"/>
      <c r="J40"/>
      <c r="K40"/>
      <c r="L40" s="4"/>
    </row>
    <row r="41" spans="1:12">
      <c r="A41" s="1091">
        <f t="shared" si="1"/>
        <v>27</v>
      </c>
      <c r="B41" s="1092" t="s">
        <v>718</v>
      </c>
      <c r="C41" s="1169">
        <v>232988606.88999999</v>
      </c>
      <c r="D41" s="1089">
        <v>0</v>
      </c>
      <c r="E41" s="1169">
        <v>2484273.2200000002</v>
      </c>
      <c r="F41" s="1089">
        <v>0</v>
      </c>
      <c r="G41" s="1325">
        <v>11700536.049999999</v>
      </c>
      <c r="H41"/>
      <c r="I41"/>
      <c r="J41"/>
      <c r="K41"/>
      <c r="L41" s="4"/>
    </row>
    <row r="42" spans="1:12" ht="13.5" thickBot="1">
      <c r="A42" s="1100">
        <f t="shared" si="1"/>
        <v>28</v>
      </c>
      <c r="B42" s="1101" t="s">
        <v>719</v>
      </c>
      <c r="C42" s="1094">
        <f>SUM(C29:C41)/13</f>
        <v>195558361.62307692</v>
      </c>
      <c r="D42" s="1094">
        <f>SUM(D29:D41)/13</f>
        <v>0</v>
      </c>
      <c r="E42" s="1094">
        <f>SUM(E29:E41)/13</f>
        <v>1880785.6761538459</v>
      </c>
      <c r="F42" s="1094">
        <f>SUM(F29:F41)/13</f>
        <v>0</v>
      </c>
      <c r="G42" s="1095">
        <f>SUM(G29:G41)/13</f>
        <v>10787255.991538463</v>
      </c>
      <c r="H42"/>
      <c r="I42"/>
      <c r="J42"/>
      <c r="K42"/>
      <c r="L42" s="4"/>
    </row>
    <row r="43" spans="1:12" ht="13.5" thickTop="1">
      <c r="A43" s="1069"/>
      <c r="B43" s="1096"/>
      <c r="C43" s="1097"/>
      <c r="D43" s="1098"/>
      <c r="E43" s="1098"/>
      <c r="F43" s="1098"/>
      <c r="G43" s="1097"/>
      <c r="H43"/>
      <c r="I43"/>
      <c r="J43"/>
      <c r="K43"/>
      <c r="L43" s="4"/>
    </row>
    <row r="44" spans="1:12">
      <c r="A44" s="1069"/>
      <c r="B44" s="1096"/>
      <c r="C44" s="1097"/>
      <c r="D44" s="1098"/>
      <c r="E44" s="1098"/>
      <c r="F44" s="1098"/>
      <c r="G44" s="1097"/>
      <c r="H44" s="1097"/>
      <c r="I44" s="1097"/>
    </row>
    <row r="45" spans="1:12">
      <c r="A45" s="1102"/>
      <c r="B45" s="1103"/>
      <c r="C45" s="1104"/>
      <c r="D45" s="1105"/>
      <c r="E45" s="1105"/>
      <c r="F45" s="1151"/>
    </row>
    <row r="46" spans="1:12" ht="72" customHeight="1">
      <c r="A46" s="1106" t="s">
        <v>703</v>
      </c>
      <c r="B46" s="1083" t="s">
        <v>704</v>
      </c>
      <c r="C46" s="1107" t="s">
        <v>721</v>
      </c>
      <c r="D46" s="1078" t="s">
        <v>722</v>
      </c>
      <c r="E46" s="1078" t="s">
        <v>723</v>
      </c>
      <c r="F46" s="1099" t="s">
        <v>724</v>
      </c>
    </row>
    <row r="47" spans="1:12" s="1085" customFormat="1">
      <c r="A47" s="1081"/>
      <c r="B47" s="1083" t="s">
        <v>708</v>
      </c>
      <c r="C47" s="1108" t="s">
        <v>725</v>
      </c>
      <c r="D47" s="1083" t="s">
        <v>726</v>
      </c>
      <c r="E47" s="1083" t="s">
        <v>709</v>
      </c>
      <c r="F47" s="1082" t="s">
        <v>710</v>
      </c>
    </row>
    <row r="48" spans="1:12" s="1085" customFormat="1" ht="63.75">
      <c r="A48" s="1081"/>
      <c r="B48" s="1083" t="s">
        <v>714</v>
      </c>
      <c r="C48" s="1409" t="str">
        <f>"Company Records (included in total in column "&amp;C8&amp;" of gross plant above)"</f>
        <v>Company Records (included in total in column (d) of gross plant above)</v>
      </c>
      <c r="D48" s="1410" t="str">
        <f>"Company Records (included in total in column "&amp;C27&amp;" of accumulated depreciation above)"</f>
        <v>Company Records (included in total in column (d) of accumulated depreciation above)</v>
      </c>
      <c r="E48" s="1410" t="s">
        <v>964</v>
      </c>
      <c r="F48" s="1411" t="s">
        <v>965</v>
      </c>
    </row>
    <row r="49" spans="1:11">
      <c r="A49" s="1081">
        <f>+A42+1</f>
        <v>29</v>
      </c>
      <c r="B49" s="1109" t="s">
        <v>715</v>
      </c>
      <c r="C49" s="1110">
        <v>0</v>
      </c>
      <c r="D49" s="1089">
        <v>0</v>
      </c>
      <c r="E49" s="1089">
        <v>32508744.960000008</v>
      </c>
      <c r="F49" s="1152">
        <v>11156503.886535449</v>
      </c>
    </row>
    <row r="50" spans="1:11">
      <c r="A50" s="1081">
        <f>+A49+1</f>
        <v>30</v>
      </c>
      <c r="B50" s="1109" t="s">
        <v>576</v>
      </c>
      <c r="C50" s="1301">
        <v>0</v>
      </c>
      <c r="D50" s="1300">
        <v>0</v>
      </c>
      <c r="E50" s="1300">
        <v>32569874.010000009</v>
      </c>
      <c r="F50" s="1152">
        <v>11210871.925658071</v>
      </c>
    </row>
    <row r="51" spans="1:11">
      <c r="A51" s="1081">
        <f t="shared" ref="A51:A62" si="2">+A50+1</f>
        <v>31</v>
      </c>
      <c r="B51" s="1111" t="s">
        <v>577</v>
      </c>
      <c r="C51" s="1301">
        <v>0</v>
      </c>
      <c r="D51" s="1300">
        <v>0</v>
      </c>
      <c r="E51" s="1300">
        <v>32586719.100000009</v>
      </c>
      <c r="F51" s="1152">
        <v>11267551.783129934</v>
      </c>
    </row>
    <row r="52" spans="1:11">
      <c r="A52" s="1081">
        <f t="shared" si="2"/>
        <v>32</v>
      </c>
      <c r="B52" s="1111" t="s">
        <v>716</v>
      </c>
      <c r="C52" s="1301">
        <v>0</v>
      </c>
      <c r="D52" s="1300">
        <v>0</v>
      </c>
      <c r="E52" s="1300">
        <v>32591184.510000009</v>
      </c>
      <c r="F52" s="1152">
        <v>11308137.43074864</v>
      </c>
    </row>
    <row r="53" spans="1:11">
      <c r="A53" s="1081">
        <f t="shared" si="2"/>
        <v>33</v>
      </c>
      <c r="B53" s="1111" t="s">
        <v>579</v>
      </c>
      <c r="C53" s="1301">
        <v>0</v>
      </c>
      <c r="D53" s="1300">
        <v>0</v>
      </c>
      <c r="E53" s="1300">
        <v>32649005.170000009</v>
      </c>
      <c r="F53" s="1152">
        <v>11477286.300661666</v>
      </c>
    </row>
    <row r="54" spans="1:11">
      <c r="A54" s="1081">
        <f t="shared" si="2"/>
        <v>34</v>
      </c>
      <c r="B54" s="1111" t="s">
        <v>580</v>
      </c>
      <c r="C54" s="1301">
        <v>0</v>
      </c>
      <c r="D54" s="1300">
        <v>0</v>
      </c>
      <c r="E54" s="1300">
        <v>32744485.660000008</v>
      </c>
      <c r="F54" s="1152">
        <v>11544290.907724105</v>
      </c>
    </row>
    <row r="55" spans="1:11">
      <c r="A55" s="1081">
        <f t="shared" si="2"/>
        <v>35</v>
      </c>
      <c r="B55" s="1111" t="s">
        <v>581</v>
      </c>
      <c r="C55" s="1301">
        <v>0</v>
      </c>
      <c r="D55" s="1300">
        <v>0</v>
      </c>
      <c r="E55" s="1300">
        <v>32704970.490000006</v>
      </c>
      <c r="F55" s="1152">
        <v>11601896.907359993</v>
      </c>
    </row>
    <row r="56" spans="1:11">
      <c r="A56" s="1081">
        <f t="shared" si="2"/>
        <v>36</v>
      </c>
      <c r="B56" s="1111" t="s">
        <v>582</v>
      </c>
      <c r="C56" s="1301">
        <v>0</v>
      </c>
      <c r="D56" s="1300">
        <v>0</v>
      </c>
      <c r="E56" s="1300">
        <v>32705530.960000005</v>
      </c>
      <c r="F56" s="1152">
        <v>11662452.309330346</v>
      </c>
    </row>
    <row r="57" spans="1:11">
      <c r="A57" s="1081">
        <f t="shared" si="2"/>
        <v>37</v>
      </c>
      <c r="B57" s="1111" t="s">
        <v>717</v>
      </c>
      <c r="C57" s="1301">
        <v>0</v>
      </c>
      <c r="D57" s="1300">
        <v>0</v>
      </c>
      <c r="E57" s="1300">
        <v>32705495.390000004</v>
      </c>
      <c r="F57" s="1152">
        <v>11718968.840525199</v>
      </c>
    </row>
    <row r="58" spans="1:11">
      <c r="A58" s="1081">
        <f t="shared" si="2"/>
        <v>38</v>
      </c>
      <c r="B58" s="1111" t="s">
        <v>584</v>
      </c>
      <c r="C58" s="1301">
        <v>0</v>
      </c>
      <c r="D58" s="1300">
        <v>0</v>
      </c>
      <c r="E58" s="1300">
        <v>32706732.310000006</v>
      </c>
      <c r="F58" s="1152">
        <v>11495323.929785252</v>
      </c>
    </row>
    <row r="59" spans="1:11">
      <c r="A59" s="1081">
        <f t="shared" si="2"/>
        <v>39</v>
      </c>
      <c r="B59" s="1111" t="s">
        <v>585</v>
      </c>
      <c r="C59" s="1301">
        <v>0</v>
      </c>
      <c r="D59" s="1300">
        <v>0</v>
      </c>
      <c r="E59" s="1300">
        <v>32713568.190000005</v>
      </c>
      <c r="F59" s="1152">
        <v>11319238.392556367</v>
      </c>
    </row>
    <row r="60" spans="1:11">
      <c r="A60" s="1081">
        <f t="shared" si="2"/>
        <v>40</v>
      </c>
      <c r="B60" s="1111" t="s">
        <v>586</v>
      </c>
      <c r="C60" s="1301">
        <v>0</v>
      </c>
      <c r="D60" s="1300">
        <v>0</v>
      </c>
      <c r="E60" s="1300">
        <v>32715592.380000006</v>
      </c>
      <c r="F60" s="1152">
        <v>11237552.91916074</v>
      </c>
    </row>
    <row r="61" spans="1:11">
      <c r="A61" s="1091">
        <f t="shared" si="2"/>
        <v>41</v>
      </c>
      <c r="B61" s="1112" t="s">
        <v>718</v>
      </c>
      <c r="C61" s="1113">
        <v>0</v>
      </c>
      <c r="D61" s="1089">
        <v>0</v>
      </c>
      <c r="E61" s="1089">
        <v>32717378.330000006</v>
      </c>
      <c r="F61" s="1152">
        <v>11287219.291414484</v>
      </c>
    </row>
    <row r="62" spans="1:11" ht="13.5" thickBot="1">
      <c r="A62" s="1114">
        <f t="shared" si="2"/>
        <v>42</v>
      </c>
      <c r="B62" s="1101" t="s">
        <v>719</v>
      </c>
      <c r="C62" s="1094">
        <f>SUM(C49:C61)/13</f>
        <v>0</v>
      </c>
      <c r="D62" s="1094">
        <f>SUM(D49:D61)/13</f>
        <v>0</v>
      </c>
      <c r="E62" s="1094">
        <f>SUM(E49:E61)/13</f>
        <v>32663021.650769234</v>
      </c>
      <c r="F62" s="1095">
        <f>SUM(F49:F61)/13</f>
        <v>11406714.986506943</v>
      </c>
    </row>
    <row r="63" spans="1:11" ht="13.5" thickTop="1">
      <c r="A63" s="1069"/>
      <c r="B63" s="1096"/>
      <c r="I63" s="1098"/>
      <c r="K63" s="4"/>
    </row>
    <row r="64" spans="1:11">
      <c r="A64" s="1069">
        <v>43</v>
      </c>
      <c r="B64" s="1096" t="s">
        <v>727</v>
      </c>
      <c r="C64" s="1474">
        <f>+C42-C62-D62-F62</f>
        <v>184151646.63656998</v>
      </c>
      <c r="I64" s="1098"/>
      <c r="K64" s="4"/>
    </row>
    <row r="65" spans="1:6" customFormat="1"/>
    <row r="66" spans="1:6" customFormat="1"/>
    <row r="67" spans="1:6" customFormat="1" ht="25.5">
      <c r="A67" s="1118" t="s">
        <v>332</v>
      </c>
      <c r="B67" s="1119"/>
      <c r="C67" s="1120" t="s">
        <v>330</v>
      </c>
      <c r="D67" s="1121" t="str">
        <f>"Balance @ December 31, "&amp;TCOS!L4&amp;""</f>
        <v>Balance @ December 31, 2021</v>
      </c>
      <c r="E67" s="1122" t="str">
        <f>"Balance @ December 31, "&amp;TCOS!L4-1&amp;""</f>
        <v>Balance @ December 31, 2020</v>
      </c>
      <c r="F67" s="1122" t="str">
        <f>"Average Balance for "&amp;TCOS!L4&amp;""</f>
        <v>Average Balance for 2021</v>
      </c>
    </row>
    <row r="68" spans="1:6" customFormat="1">
      <c r="A68" s="1123"/>
      <c r="B68" s="1083" t="s">
        <v>708</v>
      </c>
      <c r="C68" s="1083" t="s">
        <v>725</v>
      </c>
      <c r="D68" s="1083" t="s">
        <v>726</v>
      </c>
      <c r="E68" s="1083" t="s">
        <v>709</v>
      </c>
      <c r="F68" s="1083" t="s">
        <v>710</v>
      </c>
    </row>
    <row r="69" spans="1:6" customFormat="1">
      <c r="A69" s="1124">
        <f>+A64+1</f>
        <v>44</v>
      </c>
      <c r="B69" s="1123" t="s">
        <v>332</v>
      </c>
      <c r="C69" s="1125" t="s">
        <v>179</v>
      </c>
      <c r="D69" s="437">
        <v>0</v>
      </c>
      <c r="E69" s="437">
        <v>0</v>
      </c>
      <c r="F69" s="1126">
        <f>IF(E69="",0,AVERAGE(D69:E69))</f>
        <v>0</v>
      </c>
    </row>
    <row r="70" spans="1:6" customFormat="1">
      <c r="A70" s="1127"/>
      <c r="B70" s="1128"/>
      <c r="C70" s="1128"/>
      <c r="F70" s="1129"/>
    </row>
    <row r="71" spans="1:6" customFormat="1">
      <c r="A71" s="1124">
        <f>+A69+1</f>
        <v>45</v>
      </c>
      <c r="B71" s="1123" t="s">
        <v>779</v>
      </c>
      <c r="C71" s="1130" t="s">
        <v>336</v>
      </c>
      <c r="D71" s="437">
        <v>0</v>
      </c>
      <c r="E71" s="437">
        <v>0</v>
      </c>
      <c r="F71" s="1126">
        <f>IF(E71="",0,AVERAGE(D71:E71))</f>
        <v>0</v>
      </c>
    </row>
    <row r="72" spans="1:6" customFormat="1">
      <c r="A72" s="4"/>
      <c r="B72" s="4"/>
      <c r="C72" s="4"/>
      <c r="D72" s="4"/>
    </row>
    <row r="73" spans="1:6" customFormat="1">
      <c r="A73" s="1123" t="s">
        <v>23</v>
      </c>
      <c r="B73" s="4"/>
      <c r="C73" s="4"/>
      <c r="D73" s="4"/>
    </row>
    <row r="74" spans="1:6" customFormat="1">
      <c r="A74" s="1131"/>
      <c r="B74" s="1128" t="s">
        <v>165</v>
      </c>
      <c r="C74" s="1128"/>
      <c r="D74" s="1128"/>
      <c r="E74" s="1128"/>
      <c r="F74" s="1128"/>
    </row>
    <row r="75" spans="1:6" customFormat="1">
      <c r="A75" s="1124">
        <f>+A71+1</f>
        <v>46</v>
      </c>
      <c r="B75" s="1132"/>
      <c r="C75" s="1132"/>
      <c r="D75" s="437"/>
      <c r="E75" s="437"/>
      <c r="F75" s="1126">
        <f>IF(E75="",0,AVERAGE(D75:E75))</f>
        <v>0</v>
      </c>
    </row>
    <row r="76" spans="1:6" customFormat="1">
      <c r="A76" s="1124">
        <f>+A75+1</f>
        <v>47</v>
      </c>
      <c r="B76" s="1132"/>
      <c r="C76" s="1132"/>
      <c r="D76" s="437"/>
      <c r="E76" s="437"/>
      <c r="F76" s="1126">
        <f>IF(E76="",0,AVERAGE(D76:E76))</f>
        <v>0</v>
      </c>
    </row>
    <row r="77" spans="1:6" customFormat="1">
      <c r="A77" s="1124">
        <f>+A76+1</f>
        <v>48</v>
      </c>
      <c r="B77" s="1132"/>
      <c r="C77" s="1132"/>
      <c r="D77" s="437"/>
      <c r="E77" s="437"/>
      <c r="F77" s="1126">
        <f>IF(E77="",0,AVERAGE(D77:E77))</f>
        <v>0</v>
      </c>
    </row>
    <row r="78" spans="1:6" customFormat="1">
      <c r="A78" s="1124">
        <f>+A77+1</f>
        <v>49</v>
      </c>
      <c r="B78" s="1132"/>
      <c r="C78" s="1132"/>
      <c r="D78" s="437"/>
      <c r="E78" s="437"/>
      <c r="F78" s="1126">
        <f>IF(E78="",0,AVERAGE(D78:E78))</f>
        <v>0</v>
      </c>
    </row>
    <row r="79" spans="1:6" customFormat="1">
      <c r="A79" s="1124">
        <f>+A78+1</f>
        <v>50</v>
      </c>
      <c r="B79" s="1132"/>
      <c r="C79" s="1132"/>
      <c r="D79" s="1133"/>
      <c r="E79" s="1133"/>
      <c r="F79" s="1134">
        <f>IF(E79="",0,AVERAGE(D79:E79))</f>
        <v>0</v>
      </c>
    </row>
    <row r="80" spans="1:6" customFormat="1" ht="18" customHeight="1">
      <c r="A80" s="1124">
        <f>+A79+1</f>
        <v>51</v>
      </c>
      <c r="B80" s="1128" t="s">
        <v>728</v>
      </c>
      <c r="C80" s="1128"/>
      <c r="D80" s="1135">
        <f>SUM(D75:D79)</f>
        <v>0</v>
      </c>
      <c r="E80" s="1135">
        <f>SUM(E75:E79)</f>
        <v>0</v>
      </c>
      <c r="F80" s="1135">
        <f>SUM(F75:F79)</f>
        <v>0</v>
      </c>
    </row>
    <row r="81" spans="1:6" customFormat="1" ht="17.25" customHeight="1">
      <c r="A81" s="1124"/>
      <c r="B81" s="1128"/>
      <c r="C81" s="1128"/>
      <c r="D81" s="1135"/>
      <c r="E81" s="1135"/>
      <c r="F81" s="1135"/>
    </row>
    <row r="82" spans="1:6" customFormat="1" ht="18.75" customHeight="1">
      <c r="A82" s="1123" t="s">
        <v>729</v>
      </c>
      <c r="B82" s="1136"/>
      <c r="C82" s="1136"/>
      <c r="D82" s="1136"/>
      <c r="E82" s="1128"/>
      <c r="F82" s="1128"/>
    </row>
    <row r="83" spans="1:6" customFormat="1" ht="31.5" customHeight="1">
      <c r="A83" s="1119"/>
      <c r="B83" s="1137"/>
      <c r="C83" s="1138"/>
      <c r="D83" s="5"/>
      <c r="E83" s="1128"/>
      <c r="F83" s="1128"/>
    </row>
    <row r="84" spans="1:6" customFormat="1" ht="21.75" customHeight="1">
      <c r="A84" s="1119">
        <f>+A80+1</f>
        <v>52</v>
      </c>
      <c r="B84" s="1139" t="s">
        <v>467</v>
      </c>
      <c r="C84" s="1139" t="s">
        <v>112</v>
      </c>
      <c r="D84" s="1140"/>
      <c r="E84" s="9"/>
      <c r="F84" s="1139"/>
    </row>
    <row r="85" spans="1:6" customFormat="1" ht="14.25">
      <c r="A85" s="1141" t="s">
        <v>730</v>
      </c>
      <c r="B85" s="1142"/>
      <c r="C85" s="1143"/>
      <c r="D85" s="437"/>
      <c r="E85" s="437"/>
      <c r="F85" s="1144">
        <f>IF(E85="",0,AVERAGE(D85:E85))</f>
        <v>0</v>
      </c>
    </row>
    <row r="86" spans="1:6" customFormat="1" ht="14.25">
      <c r="A86" s="1145" t="s">
        <v>731</v>
      </c>
      <c r="B86" s="437"/>
      <c r="C86" s="1143"/>
      <c r="D86" s="437"/>
      <c r="E86" s="437"/>
      <c r="F86" s="1146">
        <f>IF(E86="",0,AVERAGE(D86:E86))</f>
        <v>0</v>
      </c>
    </row>
    <row r="87" spans="1:6" customFormat="1" ht="18" customHeight="1">
      <c r="A87" s="1147">
        <f>A84+2</f>
        <v>54</v>
      </c>
      <c r="B87" s="9"/>
      <c r="C87" s="1148" t="s">
        <v>420</v>
      </c>
      <c r="D87" s="1116">
        <f>SUM(D85:D86)</f>
        <v>0</v>
      </c>
      <c r="E87" s="1116">
        <f>SUM(E85:E86)</f>
        <v>0</v>
      </c>
      <c r="F87" s="1116">
        <f>SUM(F85:F86)</f>
        <v>0</v>
      </c>
    </row>
    <row r="88" spans="1:6" customFormat="1">
      <c r="A88" s="1124"/>
      <c r="B88" s="1128"/>
      <c r="C88" s="1128"/>
      <c r="D88" s="1128"/>
    </row>
    <row r="89" spans="1:6">
      <c r="A89" s="1149" t="s">
        <v>732</v>
      </c>
      <c r="B89" s="1128"/>
      <c r="C89" s="1128"/>
      <c r="D89" s="1128"/>
    </row>
    <row r="90" spans="1:6">
      <c r="A90" s="1149" t="s">
        <v>733</v>
      </c>
      <c r="B90" s="1128"/>
      <c r="C90" s="1128"/>
      <c r="D90" s="1128"/>
    </row>
  </sheetData>
  <mergeCells count="6">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topLeftCell="A7" zoomScale="70" zoomScaleNormal="75" zoomScaleSheetLayoutView="70" workbookViewId="0">
      <selection activeCell="F41" sqref="F41"/>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0" t="s">
        <v>416</v>
      </c>
    </row>
    <row r="2" spans="1:12" ht="15.75">
      <c r="A2" s="1000" t="s">
        <v>416</v>
      </c>
    </row>
    <row r="3" spans="1:12" ht="15">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1510" t="str">
        <f>TCOS!$F$5</f>
        <v>AEPTCo subsidiaries in PJM</v>
      </c>
      <c r="I3" s="1510" t="str">
        <f>TCOS!$F$5</f>
        <v>AEPTCo subsidiaries in PJM</v>
      </c>
      <c r="J3" s="21"/>
    </row>
    <row r="4" spans="1:12" ht="15">
      <c r="A4" s="1502" t="str">
        <f>"Cost of Service Formula Rate Using Actual/Projected FF1 Balances"</f>
        <v>Cost of Service Formula Rate Using Actual/Projected FF1 Balances</v>
      </c>
      <c r="B4" s="1502"/>
      <c r="C4" s="1502"/>
      <c r="D4" s="1502"/>
      <c r="E4" s="1502"/>
      <c r="F4" s="1502"/>
      <c r="G4" s="1502"/>
      <c r="H4" s="1502"/>
      <c r="I4" s="1502"/>
      <c r="J4" s="53"/>
    </row>
    <row r="5" spans="1:12" ht="15">
      <c r="A5" s="1502" t="s">
        <v>272</v>
      </c>
      <c r="B5" s="1502"/>
      <c r="C5" s="1502"/>
      <c r="D5" s="1502"/>
      <c r="E5" s="1502"/>
      <c r="F5" s="1502"/>
      <c r="G5" s="1502"/>
      <c r="H5" s="1502"/>
      <c r="I5" s="1502"/>
      <c r="J5" s="52"/>
    </row>
    <row r="6" spans="1:12" ht="15">
      <c r="A6" s="1513" t="str">
        <f>TCOS!F9</f>
        <v>AEP Indiana Michigan Transmission Company</v>
      </c>
      <c r="B6" s="1513"/>
      <c r="C6" s="1513"/>
      <c r="D6" s="1513"/>
      <c r="E6" s="1513"/>
      <c r="F6" s="1513"/>
      <c r="G6" s="1513"/>
      <c r="H6" s="1513"/>
      <c r="I6" s="1513"/>
      <c r="J6" s="3"/>
    </row>
    <row r="7" spans="1:12">
      <c r="C7" s="17"/>
      <c r="D7" s="17"/>
    </row>
    <row r="8" spans="1:12" ht="15">
      <c r="A8" s="970"/>
      <c r="B8" s="981"/>
      <c r="C8" s="985" t="s">
        <v>462</v>
      </c>
      <c r="D8" s="985" t="s">
        <v>463</v>
      </c>
      <c r="E8" s="985" t="s">
        <v>464</v>
      </c>
      <c r="F8" s="970"/>
      <c r="G8" s="985" t="s">
        <v>465</v>
      </c>
      <c r="H8" s="970"/>
      <c r="I8" s="985" t="s">
        <v>385</v>
      </c>
      <c r="J8" s="5"/>
      <c r="K8"/>
      <c r="L8"/>
    </row>
    <row r="9" spans="1:12" ht="15">
      <c r="A9" s="969"/>
      <c r="B9" s="981"/>
      <c r="C9" s="970"/>
      <c r="D9" s="970"/>
      <c r="E9" s="970"/>
      <c r="F9" s="970"/>
      <c r="G9" s="970"/>
      <c r="H9" s="970"/>
      <c r="I9" s="986"/>
      <c r="J9"/>
      <c r="K9"/>
      <c r="L9"/>
    </row>
    <row r="10" spans="1:12" ht="12.75" customHeight="1">
      <c r="A10" s="984" t="s">
        <v>469</v>
      </c>
      <c r="B10" s="981"/>
      <c r="C10" s="987"/>
      <c r="D10" s="987"/>
      <c r="E10" s="1511" t="str">
        <f>"Balance @    December 31, "&amp;TCOS!L4&amp;""</f>
        <v>Balance @    December 31, 2021</v>
      </c>
      <c r="F10" s="988"/>
      <c r="G10" s="1511" t="str">
        <f>"Balance @     December 31, "&amp;TCOS!L4-1&amp;""</f>
        <v>Balance @     December 31, 2020</v>
      </c>
      <c r="H10" s="988"/>
      <c r="I10" s="1514" t="str">
        <f>"Average Balance for "&amp;TCOS!L4&amp;""</f>
        <v>Average Balance for 2021</v>
      </c>
      <c r="J10"/>
      <c r="K10"/>
      <c r="L10"/>
    </row>
    <row r="11" spans="1:12" ht="15">
      <c r="A11" s="991" t="s">
        <v>407</v>
      </c>
      <c r="B11" s="989"/>
      <c r="C11" s="984" t="s">
        <v>467</v>
      </c>
      <c r="D11" s="984" t="s">
        <v>498</v>
      </c>
      <c r="E11" s="1512"/>
      <c r="F11" s="990"/>
      <c r="G11" s="1512"/>
      <c r="H11" s="990"/>
      <c r="I11" s="1512"/>
      <c r="J11"/>
      <c r="K11"/>
      <c r="L11"/>
    </row>
    <row r="12" spans="1:12">
      <c r="A12" s="51"/>
      <c r="C12" s="17"/>
      <c r="D12" s="17"/>
      <c r="G12" s="113"/>
    </row>
    <row r="13" spans="1:12">
      <c r="A13" s="51"/>
      <c r="C13" s="17"/>
      <c r="D13" s="17"/>
    </row>
    <row r="14" spans="1:12">
      <c r="A14" s="51"/>
      <c r="C14" s="17"/>
      <c r="D14" s="17"/>
    </row>
    <row r="15" spans="1:12" ht="15.75">
      <c r="A15" s="51">
        <v>1</v>
      </c>
      <c r="C15" s="40" t="s">
        <v>305</v>
      </c>
      <c r="D15" s="40"/>
    </row>
    <row r="16" spans="1:12" ht="15.75">
      <c r="A16" s="51"/>
      <c r="C16" s="40"/>
      <c r="D16" s="984"/>
      <c r="H16"/>
    </row>
    <row r="17" spans="1:9" ht="14.25">
      <c r="A17" s="51">
        <f>+A15+1</f>
        <v>2</v>
      </c>
      <c r="C17" s="978" t="s">
        <v>311</v>
      </c>
      <c r="D17" s="982" t="s">
        <v>313</v>
      </c>
      <c r="E17" s="968">
        <f>SUM('WS B-1 - Actual Stmt. AF'!Q23:S23)</f>
        <v>0</v>
      </c>
      <c r="F17" s="973"/>
      <c r="G17" s="968">
        <f>SUM('WS B-1 - Actual Stmt. AF'!M23:O23)</f>
        <v>0</v>
      </c>
      <c r="H17" s="974"/>
      <c r="I17" s="975">
        <f>IF(G17="",0,(E17+G17)/2)</f>
        <v>0</v>
      </c>
    </row>
    <row r="18" spans="1:9" ht="14.25">
      <c r="A18" s="51">
        <f>+A17+1</f>
        <v>3</v>
      </c>
      <c r="C18" s="978" t="s">
        <v>315</v>
      </c>
      <c r="D18" s="1237" t="str">
        <f>"WS B-1 - Actual Stmt. AF Ln. " &amp;'WS B-1 - Actual Stmt. AF'!A24&amp;" (Note 1)"</f>
        <v>WS B-1 - Actual Stmt. AF Ln. 4 (Note 1)</v>
      </c>
      <c r="E18" s="968">
        <f>SUM('WS B-1 - Actual Stmt. AF'!Q24:S24)</f>
        <v>0</v>
      </c>
      <c r="F18" s="970"/>
      <c r="G18" s="968">
        <f>SUM('WS B-1 - Actual Stmt. AF'!M24:O24)</f>
        <v>0</v>
      </c>
      <c r="H18" s="974"/>
      <c r="I18" s="975">
        <f>IF(G18="",0,(E18+G18)/2)</f>
        <v>0</v>
      </c>
    </row>
    <row r="19" spans="1:9" ht="16.5">
      <c r="A19" s="51">
        <f>+A18+1</f>
        <v>4</v>
      </c>
      <c r="C19" s="978" t="s">
        <v>316</v>
      </c>
      <c r="D19" s="1237" t="str">
        <f>"WS B-1 - Actual Stmt. AF Ln. " &amp;'WS B-1 - Actual Stmt. AF'!A23&amp;" (Note 1)"</f>
        <v>WS B-1 - Actual Stmt. AF Ln. 3 (Note 1)</v>
      </c>
      <c r="E19" s="972">
        <f>SUM('WS B-1 - Actual Stmt. AF'!Q23:S23)-SUM('WS B-1 - Actual Stmt. AF'!Q24:S24)</f>
        <v>0</v>
      </c>
      <c r="F19" s="970"/>
      <c r="G19" s="972">
        <f>SUM('WS B-1 - Actual Stmt. AF'!M23:O23)-SUM('WS B-1 - Actual Stmt. AF'!M24:O24)</f>
        <v>0</v>
      </c>
      <c r="H19" s="970"/>
      <c r="I19" s="976">
        <f>IF(G19="",0,(E19+G19)/2)</f>
        <v>0</v>
      </c>
    </row>
    <row r="20" spans="1:9" ht="14.25">
      <c r="A20" s="51">
        <f>+A19+1</f>
        <v>5</v>
      </c>
      <c r="C20" s="978" t="s">
        <v>312</v>
      </c>
      <c r="D20" s="983" t="str">
        <f>"Ln "&amp;A17&amp;" - ln "&amp;A18&amp;" - ln "&amp;A19&amp;""</f>
        <v>Ln 2 - ln 3 - ln 4</v>
      </c>
      <c r="E20" s="977">
        <f>+E17-E18-E19</f>
        <v>0</v>
      </c>
      <c r="F20" s="970"/>
      <c r="G20" s="977">
        <f>+G17-G18-G19</f>
        <v>0</v>
      </c>
      <c r="H20" s="970"/>
      <c r="I20" s="975">
        <f>+I17-I18-I19</f>
        <v>0</v>
      </c>
    </row>
    <row r="21" spans="1:9" ht="14.25">
      <c r="A21" s="51"/>
      <c r="C21" s="42"/>
      <c r="D21" s="978"/>
      <c r="E21" s="970"/>
      <c r="F21" s="970"/>
      <c r="G21" s="970"/>
      <c r="H21" s="970"/>
      <c r="I21" s="970"/>
    </row>
    <row r="22" spans="1:9" ht="14.25">
      <c r="A22" s="51"/>
      <c r="C22" s="42"/>
      <c r="D22" s="978"/>
      <c r="E22" s="970"/>
      <c r="F22" s="970"/>
      <c r="G22" s="970"/>
      <c r="H22" s="970"/>
      <c r="I22" s="970"/>
    </row>
    <row r="23" spans="1:9" ht="15.75">
      <c r="A23" s="51">
        <f>+A20+1</f>
        <v>6</v>
      </c>
      <c r="C23" s="40" t="s">
        <v>306</v>
      </c>
      <c r="D23" s="978"/>
      <c r="E23" s="970"/>
      <c r="F23" s="970"/>
      <c r="G23" s="970"/>
      <c r="H23" s="970"/>
      <c r="I23" s="970"/>
    </row>
    <row r="24" spans="1:9" ht="14.25">
      <c r="A24" s="51"/>
      <c r="C24" s="42"/>
      <c r="D24" s="978"/>
      <c r="E24" s="970"/>
      <c r="F24" s="970"/>
      <c r="G24" s="970"/>
      <c r="H24" s="970"/>
      <c r="I24" s="970"/>
    </row>
    <row r="25" spans="1:9" ht="14.25">
      <c r="A25" s="51">
        <f>+A23+1</f>
        <v>7</v>
      </c>
      <c r="C25" s="978" t="s">
        <v>311</v>
      </c>
      <c r="D25" s="982" t="s">
        <v>239</v>
      </c>
      <c r="E25" s="968">
        <f>SUM('WS B-1 - Actual Stmt. AF'!Q51:S51)-'WS B-1 - Actual Stmt. AF'!D44</f>
        <v>347711720.77000004</v>
      </c>
      <c r="F25" s="973"/>
      <c r="G25" s="968">
        <f>SUM('WS B-1 - Actual Stmt. AF'!M51:O51)-'WS B-1 - Actual Stmt. AF'!C44</f>
        <v>329977185.85999995</v>
      </c>
      <c r="H25" s="974"/>
      <c r="I25" s="975">
        <f>IF(G25="",0,(E25+G25)/2)</f>
        <v>338844453.315</v>
      </c>
    </row>
    <row r="26" spans="1:9" ht="14.25">
      <c r="A26" s="51">
        <f>+A25+1</f>
        <v>8</v>
      </c>
      <c r="C26" s="978" t="s">
        <v>315</v>
      </c>
      <c r="D26" s="1237" t="str">
        <f>"WS B-1 - Actual Stmt. AF Ln. " &amp;'WS B-1 - Actual Stmt. AF'!A52&amp;" (Note 1)"</f>
        <v>WS B-1 - Actual Stmt. AF Ln. 7 (Note 1)</v>
      </c>
      <c r="E26" s="968">
        <f>'WS B-1 - Actual Stmt. AF'!D52</f>
        <v>0</v>
      </c>
      <c r="F26" s="970"/>
      <c r="G26" s="968">
        <f>'WS B-1 - Actual Stmt. AF'!C52</f>
        <v>0</v>
      </c>
      <c r="H26" s="974"/>
      <c r="I26" s="975">
        <f>IF(G26="",0,(E26+G26)/2)</f>
        <v>0</v>
      </c>
    </row>
    <row r="27" spans="1:9" ht="16.5">
      <c r="A27" s="51">
        <f>+A26+1</f>
        <v>9</v>
      </c>
      <c r="C27" s="978" t="s">
        <v>316</v>
      </c>
      <c r="D27" s="1237" t="str">
        <f>"WS B-1 - Actual Stmt. AF Ln. " &amp;'WS B-1 - Actual Stmt. AF'!A51&amp;" (Note 1)"</f>
        <v>WS B-1 - Actual Stmt. AF Ln. 6 (Note 1)</v>
      </c>
      <c r="E27" s="972">
        <f>('WS B-1 - Actual Stmt. AF'!Q51+'WS B-1 - Actual Stmt. AF'!S51)-('WS B-1 - Actual Stmt. AF'!Q52-'WS B-1 - Actual Stmt. AF'!S52)-'WS B-1 - Actual Stmt. AF'!D44</f>
        <v>68281710.772239223</v>
      </c>
      <c r="F27" s="970"/>
      <c r="G27" s="972">
        <f>('WS B-1 - Actual Stmt. AF'!M51+'WS B-1 - Actual Stmt. AF'!O51)-('WS B-1 - Actual Stmt. AF'!M52+'WS B-1 - Actual Stmt. AF'!O52)-'WS B-1 - Actual Stmt. AF'!C44</f>
        <v>75991454.870817199</v>
      </c>
      <c r="H27" s="970"/>
      <c r="I27" s="976">
        <f>IF(G27="",0,(E27+G27)/2)</f>
        <v>72136582.821528211</v>
      </c>
    </row>
    <row r="28" spans="1:9" ht="14.25">
      <c r="A28" s="51">
        <f>+A27+1</f>
        <v>10</v>
      </c>
      <c r="C28" s="978" t="s">
        <v>312</v>
      </c>
      <c r="D28" s="983" t="str">
        <f>"Ln "&amp;A25&amp;" - ln "&amp;A26&amp;" - ln "&amp;A27&amp;""</f>
        <v>Ln 7 - ln 8 - ln 9</v>
      </c>
      <c r="E28" s="977">
        <f>+E25-E26-E27</f>
        <v>279430009.99776083</v>
      </c>
      <c r="F28" s="973"/>
      <c r="G28" s="977">
        <f>+G25-G26-G27</f>
        <v>253985730.98918277</v>
      </c>
      <c r="H28" s="970"/>
      <c r="I28" s="975">
        <f>+I25-I26-I27</f>
        <v>266707870.4934718</v>
      </c>
    </row>
    <row r="29" spans="1:9" ht="14.25">
      <c r="A29" s="51"/>
      <c r="C29" s="42"/>
      <c r="D29" s="978"/>
      <c r="E29" s="970"/>
      <c r="F29" s="970"/>
      <c r="G29" s="970"/>
      <c r="H29" s="970"/>
      <c r="I29" s="970"/>
    </row>
    <row r="30" spans="1:9" ht="14.25">
      <c r="A30" s="51"/>
      <c r="C30" s="42"/>
      <c r="D30" s="978"/>
      <c r="E30" s="971"/>
      <c r="F30" s="970"/>
      <c r="G30" s="971"/>
      <c r="H30" s="970"/>
      <c r="I30" s="970"/>
    </row>
    <row r="31" spans="1:9" ht="15.75">
      <c r="A31" s="51">
        <f>+A28+1</f>
        <v>11</v>
      </c>
      <c r="C31" s="40" t="s">
        <v>307</v>
      </c>
      <c r="D31" s="978"/>
      <c r="E31" s="970"/>
      <c r="F31" s="970"/>
      <c r="G31" s="970"/>
      <c r="H31" s="970"/>
      <c r="I31" s="970"/>
    </row>
    <row r="32" spans="1:9" ht="15.75">
      <c r="A32" s="51"/>
      <c r="C32" s="40"/>
      <c r="D32" s="978"/>
      <c r="E32" s="970"/>
      <c r="F32" s="970"/>
      <c r="G32" s="970"/>
      <c r="H32" s="970"/>
      <c r="I32" s="970"/>
    </row>
    <row r="33" spans="1:9" ht="14.25">
      <c r="A33" s="51">
        <f>+A31+1</f>
        <v>12</v>
      </c>
      <c r="C33" s="978" t="s">
        <v>311</v>
      </c>
      <c r="D33" s="982" t="s">
        <v>314</v>
      </c>
      <c r="E33" s="968">
        <f>SUM('WS B-1 - Actual Stmt. AF'!Q75:S75)-'WS B-1 - Actual Stmt. AF'!D59</f>
        <v>34432422.170000002</v>
      </c>
      <c r="F33" s="973"/>
      <c r="G33" s="968">
        <f>SUM('WS B-1 - Actual Stmt. AF'!M75:O75)-'WS B-1 - Actual Stmt. AF'!C59</f>
        <v>31744977.170000002</v>
      </c>
      <c r="H33" s="974"/>
      <c r="I33" s="975">
        <f>IF(G33="",0,(E33+G33)/2)</f>
        <v>33088699.670000002</v>
      </c>
    </row>
    <row r="34" spans="1:9" ht="14.25">
      <c r="A34" s="51">
        <f>+A33+1</f>
        <v>13</v>
      </c>
      <c r="C34" s="978" t="s">
        <v>315</v>
      </c>
      <c r="D34" s="1237" t="str">
        <f>"WS B-1 - Actual Stmt. AF Ln. " &amp;'WS B-1 - Actual Stmt. AF'!A76&amp;" (Note 1)"</f>
        <v>WS B-1 - Actual Stmt. AF Ln. 13 (Note 1)</v>
      </c>
      <c r="E34" s="968">
        <f>SUM('WS B-1 - Actual Stmt. AF'!Q76:S76)</f>
        <v>0</v>
      </c>
      <c r="F34" s="970"/>
      <c r="G34" s="968">
        <f>SUM('WS B-1 - Actual Stmt. AF'!M76:O76)</f>
        <v>0</v>
      </c>
      <c r="H34" s="974"/>
      <c r="I34" s="975">
        <f>IF(G34="",0,(E34+G34)/2)</f>
        <v>0</v>
      </c>
    </row>
    <row r="35" spans="1:9" ht="16.5">
      <c r="A35" s="51">
        <f>+A34+1</f>
        <v>14</v>
      </c>
      <c r="C35" s="978" t="s">
        <v>316</v>
      </c>
      <c r="D35" s="1237" t="str">
        <f>"WS B-1 - Actual Stmt. AF Ln. " &amp;'WS B-1 - Actual Stmt. AF'!A75&amp;" (Note 1)"</f>
        <v>WS B-1 - Actual Stmt. AF Ln. 12 (Note 1)</v>
      </c>
      <c r="E35" s="972">
        <f>('WS B-1 - Actual Stmt. AF'!Q75+'WS B-1 - Actual Stmt. AF'!S75)-('WS B-1 - Actual Stmt. AF'!Q76+'WS B-1 - Actual Stmt. AF'!S76)-'WS B-1 - Actual Stmt. AF'!D59</f>
        <v>0</v>
      </c>
      <c r="F35" s="970"/>
      <c r="G35" s="972">
        <f>('WS B-1 - Actual Stmt. AF'!M75+'WS B-1 - Actual Stmt. AF'!O75)-('WS B-1 - Actual Stmt. AF'!M76+'WS B-1 - Actual Stmt. AF'!O76)-'WS B-1 - Actual Stmt. AF'!C59</f>
        <v>-2438317</v>
      </c>
      <c r="H35" s="970"/>
      <c r="I35" s="976">
        <f>IF(G35="",0,(E35+G35)/2)</f>
        <v>-1219158.5</v>
      </c>
    </row>
    <row r="36" spans="1:9" ht="14.25">
      <c r="A36" s="51">
        <f>+A35+1</f>
        <v>15</v>
      </c>
      <c r="C36" s="978" t="s">
        <v>312</v>
      </c>
      <c r="D36" s="983" t="str">
        <f>"Ln "&amp;A33&amp;" - ln "&amp;A34&amp;" - ln "&amp;A35&amp;""</f>
        <v>Ln 12 - ln 13 - ln 14</v>
      </c>
      <c r="E36" s="977">
        <f>+E33-E34-E35</f>
        <v>34432422.170000002</v>
      </c>
      <c r="F36" s="973"/>
      <c r="G36" s="977">
        <f>+G33-G34-G35</f>
        <v>34183294.170000002</v>
      </c>
      <c r="H36" s="970"/>
      <c r="I36" s="975">
        <f>+I33-I34-I35</f>
        <v>34307858.170000002</v>
      </c>
    </row>
    <row r="37" spans="1:9" ht="15.75">
      <c r="A37" s="51"/>
      <c r="C37" s="40"/>
      <c r="D37" s="978"/>
      <c r="E37" s="970"/>
      <c r="F37" s="970"/>
      <c r="G37" s="970"/>
      <c r="H37" s="970"/>
      <c r="I37" s="970"/>
    </row>
    <row r="38" spans="1:9" ht="14.25">
      <c r="A38" s="51"/>
      <c r="C38" s="42"/>
      <c r="D38" s="978"/>
      <c r="E38" s="970"/>
      <c r="F38" s="970"/>
      <c r="G38" s="970"/>
      <c r="H38" s="970"/>
      <c r="I38" s="970"/>
    </row>
    <row r="39" spans="1:9" ht="15.75">
      <c r="A39" s="51">
        <f>+A36+1</f>
        <v>16</v>
      </c>
      <c r="C39" s="40" t="s">
        <v>308</v>
      </c>
      <c r="D39" s="978"/>
      <c r="E39" s="970"/>
      <c r="F39" s="970"/>
      <c r="G39" s="970"/>
      <c r="H39" s="970"/>
      <c r="I39" s="970"/>
    </row>
    <row r="40" spans="1:9" ht="14.25">
      <c r="A40" s="51"/>
      <c r="C40" s="42"/>
      <c r="D40" s="978"/>
      <c r="E40" s="970"/>
      <c r="F40" s="970"/>
      <c r="G40" s="970"/>
      <c r="H40" s="970"/>
      <c r="I40" s="970"/>
    </row>
    <row r="41" spans="1:9" ht="14.25">
      <c r="A41" s="51">
        <f>+A39+1</f>
        <v>17</v>
      </c>
      <c r="C41" s="978" t="s">
        <v>311</v>
      </c>
      <c r="D41" s="982" t="s">
        <v>310</v>
      </c>
      <c r="E41" s="968">
        <f>SUM('WS B-2 - Actual Stmt. AG'!Q35:S35)-'WS B-2 - Actual Stmt. AG'!D26</f>
        <v>11288108.230000004</v>
      </c>
      <c r="F41" s="973"/>
      <c r="G41" s="968">
        <f>SUM('WS B-2 - Actual Stmt. AG'!M35:O35)-'WS B-2 - Actual Stmt. AG'!C26</f>
        <v>11217708.25</v>
      </c>
      <c r="H41" s="974"/>
      <c r="I41" s="975">
        <f>IF(G41="",0,(E41+G41)/2)</f>
        <v>11252908.240000002</v>
      </c>
    </row>
    <row r="42" spans="1:9" ht="14.25">
      <c r="A42" s="51">
        <f>+A41+1</f>
        <v>18</v>
      </c>
      <c r="C42" s="978" t="s">
        <v>315</v>
      </c>
      <c r="D42" s="1237" t="str">
        <f>"WS B-2 - Actual Stmt. AG Ln. " &amp;'WS B-2 - Actual Stmt. AG'!A36&amp;" (Note 1)"</f>
        <v>WS B-2 - Actual Stmt. AG Ln. 4 (Note 1)</v>
      </c>
      <c r="E42" s="968">
        <f>SUM('WS B-2 - Actual Stmt. AG'!Q36:S36)</f>
        <v>0</v>
      </c>
      <c r="F42" s="970"/>
      <c r="G42" s="968">
        <f>SUM('WS B-2 - Actual Stmt. AG'!M36:O36)</f>
        <v>0</v>
      </c>
      <c r="H42" s="974"/>
      <c r="I42" s="975">
        <f>IF(G42="",0,(E42+G42)/2)</f>
        <v>0</v>
      </c>
    </row>
    <row r="43" spans="1:9" ht="16.5">
      <c r="A43" s="51">
        <f>+A42+1</f>
        <v>19</v>
      </c>
      <c r="C43" s="978" t="s">
        <v>316</v>
      </c>
      <c r="D43" s="1237" t="str">
        <f>"WS B-2 - Actual Stmt. AG Ln. " &amp;'WS B-2 - Actual Stmt. AG'!A35&amp;" (Note 1)"</f>
        <v>WS B-2 - Actual Stmt. AG Ln. 3 (Note 1)</v>
      </c>
      <c r="E43" s="972">
        <f>('WS B-2 - Actual Stmt. AG'!Q35+'WS B-2 - Actual Stmt. AG'!S35)-('WS B-2 - Actual Stmt. AG'!Q36+'WS B-2 - Actual Stmt. AG'!S36)-'WS B-2 - Actual Stmt. AG'!D26</f>
        <v>-85354968.372713804</v>
      </c>
      <c r="F43" s="970"/>
      <c r="G43" s="972">
        <f>('WS B-2 - Actual Stmt. AG'!M35+'WS B-2 - Actual Stmt. AG'!O35)-('WS B-2 - Actual Stmt. AG'!M36+'WS B-2 - Actual Stmt. AG'!O36)-'WS B-2 - Actual Stmt. AG'!C26</f>
        <v>-107609803.8469138</v>
      </c>
      <c r="H43" s="970"/>
      <c r="I43" s="976">
        <f>IF(G43="",0,(E43+G43)/2)</f>
        <v>-96482386.109813809</v>
      </c>
    </row>
    <row r="44" spans="1:9" ht="14.25">
      <c r="A44" s="51">
        <f>+A43+1</f>
        <v>20</v>
      </c>
      <c r="C44" s="978" t="s">
        <v>312</v>
      </c>
      <c r="D44" s="983" t="str">
        <f>"Ln "&amp;A41&amp;" - ln "&amp;A42&amp;" - ln "&amp;A43&amp;""</f>
        <v>Ln 17 - ln 18 - ln 19</v>
      </c>
      <c r="E44" s="977">
        <f>+E41-E42-E43</f>
        <v>96643076.602713808</v>
      </c>
      <c r="F44" s="973"/>
      <c r="G44" s="977">
        <f>+G41-G42-G43</f>
        <v>118827512.0969138</v>
      </c>
      <c r="H44" s="970"/>
      <c r="I44" s="975">
        <f>+I41-I42-I43</f>
        <v>107735294.34981382</v>
      </c>
    </row>
    <row r="45" spans="1:9" ht="14.25">
      <c r="A45" s="51"/>
      <c r="C45" s="42"/>
      <c r="D45" s="42"/>
      <c r="E45" s="970"/>
      <c r="F45" s="970"/>
      <c r="G45" s="970"/>
      <c r="H45" s="970"/>
      <c r="I45" s="970"/>
    </row>
    <row r="46" spans="1:9" ht="14.25">
      <c r="A46" s="51"/>
      <c r="C46" s="42"/>
      <c r="D46" s="42"/>
      <c r="E46" s="970"/>
      <c r="F46" s="970"/>
      <c r="G46" s="970"/>
      <c r="H46" s="970"/>
      <c r="I46" s="970"/>
    </row>
    <row r="47" spans="1:9" ht="15.75">
      <c r="A47" s="51">
        <f>+A44+1</f>
        <v>21</v>
      </c>
      <c r="C47" s="40" t="s">
        <v>309</v>
      </c>
      <c r="D47" s="42"/>
      <c r="E47" s="970"/>
      <c r="F47" s="970"/>
      <c r="G47" s="970"/>
      <c r="H47" s="970"/>
      <c r="I47" s="970"/>
    </row>
    <row r="48" spans="1:9" ht="14.25">
      <c r="A48" s="51"/>
      <c r="C48" s="42"/>
      <c r="D48" s="42"/>
      <c r="E48" s="970"/>
      <c r="F48" s="970"/>
      <c r="G48" s="970"/>
      <c r="H48" s="970"/>
      <c r="I48" s="970"/>
    </row>
    <row r="49" spans="1:10" ht="14.25">
      <c r="A49" s="51">
        <f>+A47+1</f>
        <v>22</v>
      </c>
      <c r="C49" s="978" t="s">
        <v>317</v>
      </c>
      <c r="D49" s="982" t="s">
        <v>271</v>
      </c>
      <c r="E49" s="968">
        <f>SUM('WS B-1 - Actual Stmt. AF'!Q89:S89)</f>
        <v>0</v>
      </c>
      <c r="F49" s="970"/>
      <c r="G49" s="968">
        <f>SUM('WS B-1 - Actual Stmt. AF'!M89:O89)</f>
        <v>0</v>
      </c>
      <c r="H49" s="974"/>
      <c r="I49" s="975">
        <f>IF(G49="",0,(E49+G49)/2)</f>
        <v>0</v>
      </c>
    </row>
    <row r="50" spans="1:10" ht="16.5">
      <c r="A50" s="51">
        <f>+A49+1</f>
        <v>23</v>
      </c>
      <c r="C50" s="978" t="s">
        <v>318</v>
      </c>
      <c r="D50" s="969" t="s">
        <v>336</v>
      </c>
      <c r="E50" s="972">
        <v>0</v>
      </c>
      <c r="F50" s="970"/>
      <c r="G50" s="972">
        <v>0</v>
      </c>
      <c r="H50" s="974"/>
      <c r="I50" s="976">
        <f>IF(G50="",0,(E50+G50)/2)</f>
        <v>0</v>
      </c>
    </row>
    <row r="51" spans="1:10" ht="14.25">
      <c r="A51" s="51">
        <f>+A50+1</f>
        <v>24</v>
      </c>
      <c r="C51" s="978" t="s">
        <v>262</v>
      </c>
      <c r="D51" s="983" t="str">
        <f>"Ln "&amp;A49&amp;" - ln "&amp;A50&amp;""</f>
        <v>Ln 22 - ln 23</v>
      </c>
      <c r="E51" s="977">
        <f>+E49-E50</f>
        <v>0</v>
      </c>
      <c r="F51" s="970"/>
      <c r="G51" s="977">
        <f>+G49-G50</f>
        <v>0</v>
      </c>
      <c r="H51" s="974"/>
      <c r="I51" s="975">
        <f>+I49-I50</f>
        <v>0</v>
      </c>
    </row>
    <row r="52" spans="1:10" ht="14.25">
      <c r="A52" s="51">
        <f>+A51+1</f>
        <v>25</v>
      </c>
      <c r="C52" s="978" t="s">
        <v>312</v>
      </c>
      <c r="D52" s="983" t="str">
        <f>"WS B-1 - Actual Stmt. AF Ln. " &amp;'WS B-1 - Actual Stmt. AF'!A89&amp;" (Note 1)"</f>
        <v>WS B-1 - Actual Stmt. AF Ln. 20 (Note 1)</v>
      </c>
      <c r="E52" s="968">
        <f>'WS B-1 - Actual Stmt. AF'!R89</f>
        <v>0</v>
      </c>
      <c r="F52" s="970"/>
      <c r="G52" s="968">
        <f>'WS B-1 - Actual Stmt. AF'!N89</f>
        <v>0</v>
      </c>
      <c r="H52" s="974"/>
      <c r="I52" s="975">
        <f>IF(G52="",0,(E52+G52)/2)</f>
        <v>0</v>
      </c>
    </row>
    <row r="53" spans="1:10">
      <c r="A53" s="51"/>
      <c r="C53" s="42"/>
      <c r="D53" s="42"/>
    </row>
    <row r="54" spans="1:10" ht="14.25">
      <c r="A54" s="979" t="s">
        <v>335</v>
      </c>
      <c r="B54" s="980" t="s">
        <v>416</v>
      </c>
      <c r="C54" s="980" t="s">
        <v>766</v>
      </c>
      <c r="D54" s="42"/>
    </row>
    <row r="55" spans="1:10" ht="27.6" customHeight="1">
      <c r="A55" s="969"/>
      <c r="B55" s="981"/>
      <c r="C55" s="1509" t="s">
        <v>767</v>
      </c>
      <c r="D55" s="1509"/>
      <c r="E55" s="1509"/>
      <c r="F55" s="1509"/>
      <c r="G55" s="1509"/>
    </row>
    <row r="56" spans="1:10" ht="14.25">
      <c r="A56" s="969" t="s">
        <v>268</v>
      </c>
      <c r="B56" s="981" t="s">
        <v>269</v>
      </c>
      <c r="C56" s="978"/>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89"/>
  <sheetViews>
    <sheetView view="pageBreakPreview" topLeftCell="A19" zoomScale="85" zoomScaleNormal="50" zoomScaleSheetLayoutView="85" workbookViewId="0">
      <selection activeCell="R59" sqref="R59"/>
    </sheetView>
  </sheetViews>
  <sheetFormatPr defaultRowHeight="12.75"/>
  <cols>
    <col min="1" max="1" width="6.85546875" style="1012" customWidth="1"/>
    <col min="2" max="2" width="57.7109375" style="1011" bestFit="1" customWidth="1"/>
    <col min="3" max="4" width="14.85546875" style="1011" customWidth="1"/>
    <col min="5" max="6" width="14.28515625"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7"/>
      <c r="B1" s="1059" t="str">
        <f>TCOS!F9</f>
        <v>AEP Indiana Michigan Transmission Company</v>
      </c>
      <c r="C1" s="1022"/>
      <c r="D1" s="1022"/>
      <c r="E1" s="1022"/>
      <c r="F1" s="1022"/>
      <c r="G1" s="1019"/>
      <c r="H1" s="1019"/>
      <c r="I1" s="1019"/>
      <c r="J1" s="1019"/>
      <c r="K1" s="1019"/>
      <c r="L1" s="1019"/>
      <c r="M1" s="1022"/>
      <c r="N1" s="1022"/>
      <c r="O1" s="1022"/>
      <c r="P1" s="1022"/>
      <c r="Q1" s="1022"/>
      <c r="R1" s="1022"/>
      <c r="S1" s="1019"/>
    </row>
    <row r="2" spans="1:19">
      <c r="A2" s="1037"/>
      <c r="B2" s="1021" t="s">
        <v>643</v>
      </c>
      <c r="C2" s="1022"/>
      <c r="D2" s="1022"/>
      <c r="E2" s="1022"/>
      <c r="F2" s="1022"/>
      <c r="G2" s="1019"/>
      <c r="H2" s="1019"/>
      <c r="I2" s="1019"/>
      <c r="J2" s="1019"/>
      <c r="K2" s="1019"/>
      <c r="L2" s="1019"/>
      <c r="M2" s="1022"/>
      <c r="N2" s="1022"/>
      <c r="O2" s="1022"/>
      <c r="P2" s="1022"/>
      <c r="Q2" s="1022"/>
      <c r="R2" s="1022"/>
      <c r="S2" s="1019"/>
    </row>
    <row r="3" spans="1:19">
      <c r="A3" s="1037"/>
      <c r="B3" s="1021" t="str">
        <f>"PERIOD ENDED DECEMBER 31, "&amp;TCOS!L4</f>
        <v>PERIOD ENDED DECEMBER 31, 2021</v>
      </c>
      <c r="C3" s="1022"/>
      <c r="D3" s="1022"/>
      <c r="E3" s="1022"/>
      <c r="F3" s="1022"/>
      <c r="G3" s="1022"/>
      <c r="H3" s="1022"/>
      <c r="I3" s="1022"/>
      <c r="J3" s="1022"/>
      <c r="K3" s="1022"/>
      <c r="L3" s="1022"/>
      <c r="M3" s="1022"/>
      <c r="N3" s="1022"/>
      <c r="O3" s="1022"/>
      <c r="P3" s="1022"/>
      <c r="Q3" s="1022"/>
      <c r="R3" s="1022"/>
      <c r="S3" s="1022"/>
    </row>
    <row r="4" spans="1:19">
      <c r="A4" s="1037"/>
      <c r="B4" s="1022"/>
      <c r="C4" s="1022"/>
      <c r="D4" s="1022"/>
      <c r="E4" s="1022"/>
      <c r="F4" s="1022"/>
      <c r="G4" s="1020" t="s">
        <v>644</v>
      </c>
      <c r="H4" s="1020"/>
      <c r="I4" s="1020"/>
      <c r="J4" s="1020"/>
      <c r="K4" s="1020"/>
      <c r="L4" s="1020"/>
      <c r="M4" s="1022"/>
      <c r="N4" s="1022"/>
      <c r="O4" s="1022"/>
      <c r="P4" s="1022"/>
      <c r="Q4" s="1022"/>
      <c r="R4" s="1022"/>
      <c r="S4" s="1022"/>
    </row>
    <row r="5" spans="1:19">
      <c r="A5" s="1037"/>
      <c r="B5" s="1023"/>
      <c r="C5" s="1022"/>
      <c r="D5" s="1022"/>
      <c r="E5" s="1022"/>
      <c r="F5" s="1022"/>
      <c r="G5" s="1022"/>
      <c r="H5" s="1022"/>
      <c r="I5" s="1022"/>
      <c r="J5" s="1022"/>
      <c r="K5" s="1022"/>
      <c r="L5" s="1022"/>
      <c r="M5" s="1022"/>
      <c r="N5" s="1022"/>
      <c r="O5" s="1022"/>
      <c r="P5" s="1022"/>
      <c r="Q5" s="1022"/>
      <c r="R5" s="1022"/>
      <c r="S5" s="1022"/>
    </row>
    <row r="6" spans="1:19">
      <c r="A6" s="1037"/>
      <c r="B6" s="1022"/>
      <c r="C6" s="1022"/>
      <c r="D6" s="1022"/>
      <c r="E6" s="1022"/>
      <c r="F6" s="1022"/>
      <c r="G6" s="1022"/>
      <c r="H6" s="1022"/>
      <c r="I6" s="1022"/>
      <c r="J6" s="1022"/>
      <c r="K6" s="1022"/>
      <c r="L6" s="1022"/>
      <c r="M6" s="1022"/>
      <c r="N6" s="1022"/>
      <c r="O6" s="1022"/>
      <c r="P6" s="1022"/>
      <c r="Q6" s="1022"/>
      <c r="R6" s="1022"/>
      <c r="S6" s="1022"/>
    </row>
    <row r="7" spans="1:19">
      <c r="A7" s="1037"/>
      <c r="B7" s="1022"/>
      <c r="C7" s="1022"/>
      <c r="D7" s="1022"/>
      <c r="E7" s="1022"/>
      <c r="F7" s="1022"/>
      <c r="G7" s="1022"/>
      <c r="H7" s="1022"/>
      <c r="I7" s="1022"/>
      <c r="J7" s="1022"/>
      <c r="K7" s="1022"/>
      <c r="L7" s="1022"/>
      <c r="M7" s="1022"/>
      <c r="N7" s="1022"/>
      <c r="O7" s="1022"/>
      <c r="P7" s="1022"/>
      <c r="Q7" s="1022"/>
      <c r="R7" s="1022"/>
      <c r="S7" s="1022"/>
    </row>
    <row r="8" spans="1:19">
      <c r="A8" s="1037"/>
      <c r="B8" s="1024" t="s">
        <v>645</v>
      </c>
      <c r="C8" s="1024" t="s">
        <v>646</v>
      </c>
      <c r="D8" s="1024" t="s">
        <v>647</v>
      </c>
      <c r="E8" s="1024" t="s">
        <v>648</v>
      </c>
      <c r="F8" s="1024" t="s">
        <v>649</v>
      </c>
      <c r="G8" s="1024" t="s">
        <v>650</v>
      </c>
      <c r="H8" s="1024"/>
      <c r="I8" s="1024" t="s">
        <v>651</v>
      </c>
      <c r="J8" s="1024" t="s">
        <v>652</v>
      </c>
      <c r="K8" s="1024" t="s">
        <v>653</v>
      </c>
      <c r="L8" s="1024"/>
      <c r="M8" s="1024" t="s">
        <v>654</v>
      </c>
      <c r="N8" s="1024" t="s">
        <v>655</v>
      </c>
      <c r="O8" s="1024" t="s">
        <v>656</v>
      </c>
      <c r="P8" s="1022"/>
      <c r="Q8" s="1024" t="s">
        <v>657</v>
      </c>
      <c r="R8" s="1024" t="s">
        <v>658</v>
      </c>
      <c r="S8" s="1024" t="s">
        <v>659</v>
      </c>
    </row>
    <row r="9" spans="1:19">
      <c r="A9" s="1037"/>
      <c r="B9" s="1022"/>
      <c r="C9" s="1022"/>
      <c r="D9" s="1022"/>
      <c r="E9" s="1022"/>
      <c r="F9" s="1022"/>
      <c r="G9" s="1022"/>
      <c r="H9" s="1022"/>
      <c r="I9" s="1022"/>
      <c r="J9" s="1022"/>
      <c r="K9" s="1022"/>
      <c r="L9" s="1022"/>
      <c r="M9" s="1022"/>
      <c r="N9" s="1022"/>
      <c r="O9" s="1022"/>
      <c r="P9" s="1022"/>
      <c r="Q9" s="1022"/>
      <c r="R9" s="1022"/>
      <c r="S9" s="1022"/>
    </row>
    <row r="10" spans="1:19">
      <c r="A10" s="1037"/>
      <c r="B10" s="1022"/>
      <c r="C10" s="1025" t="s">
        <v>660</v>
      </c>
      <c r="D10" s="1025"/>
      <c r="E10" s="1026" t="s">
        <v>661</v>
      </c>
      <c r="F10" s="1025"/>
      <c r="G10" s="1013" t="s">
        <v>662</v>
      </c>
      <c r="H10" s="1013"/>
      <c r="I10" s="1027" t="s">
        <v>663</v>
      </c>
      <c r="J10" s="1025"/>
      <c r="K10" s="1025"/>
      <c r="L10" s="1013"/>
      <c r="M10" s="1027" t="str">
        <f>"FUNCTIONALIZATION 12/31/"&amp;TCOS!L4-1</f>
        <v>FUNCTIONALIZATION 12/31/2020</v>
      </c>
      <c r="N10" s="1025"/>
      <c r="O10" s="1025"/>
      <c r="P10" s="1022"/>
      <c r="Q10" s="1027" t="str">
        <f>"FUNCTIONALIZATION 12/31/"&amp;TCOS!L4</f>
        <v>FUNCTIONALIZATION 12/31/2021</v>
      </c>
      <c r="R10" s="1025"/>
      <c r="S10" s="1025"/>
    </row>
    <row r="11" spans="1:19">
      <c r="A11" s="1037"/>
      <c r="B11" s="1022"/>
      <c r="C11" s="1028"/>
      <c r="D11" s="1028"/>
      <c r="E11" s="1022"/>
      <c r="F11" s="1022"/>
      <c r="G11" s="1013" t="s">
        <v>664</v>
      </c>
      <c r="H11" s="1013"/>
      <c r="I11" s="1028"/>
      <c r="J11" s="1028"/>
      <c r="K11" s="1028"/>
      <c r="L11" s="1013"/>
      <c r="M11" s="1028"/>
      <c r="N11" s="1028"/>
      <c r="O11" s="1028"/>
      <c r="P11" s="1022"/>
      <c r="Q11" s="1028"/>
      <c r="R11" s="1028"/>
      <c r="S11" s="1028"/>
    </row>
    <row r="12" spans="1:19" s="1054" customFormat="1">
      <c r="A12" s="1055"/>
      <c r="B12" s="1053"/>
      <c r="C12" s="1056" t="s">
        <v>665</v>
      </c>
      <c r="D12" s="1056" t="s">
        <v>665</v>
      </c>
      <c r="E12" s="1056" t="s">
        <v>665</v>
      </c>
      <c r="F12" s="1056" t="s">
        <v>665</v>
      </c>
      <c r="G12" s="1056" t="s">
        <v>666</v>
      </c>
      <c r="H12" s="1056"/>
      <c r="I12" s="1053"/>
      <c r="J12" s="1053"/>
      <c r="K12" s="1053"/>
      <c r="L12" s="1056"/>
      <c r="M12" s="1053"/>
      <c r="N12" s="1053"/>
      <c r="O12" s="1053"/>
      <c r="P12" s="1053"/>
      <c r="Q12" s="1053"/>
      <c r="R12" s="1053"/>
      <c r="S12" s="1053"/>
    </row>
    <row r="13" spans="1:19" s="1054" customFormat="1">
      <c r="A13" s="1055"/>
      <c r="B13" s="1057" t="s">
        <v>667</v>
      </c>
      <c r="C13" s="1057" t="str">
        <f>"OF 12-31-"&amp;TCOS!L4-1</f>
        <v>OF 12-31-2020</v>
      </c>
      <c r="D13" s="1057" t="str">
        <f>"OF 12-31-"&amp;TCOS!L4</f>
        <v>OF 12-31-2021</v>
      </c>
      <c r="E13" s="1057" t="str">
        <f>"OF 12-31-"&amp;TCOS!L4-1</f>
        <v>OF 12-31-2020</v>
      </c>
      <c r="F13" s="1057" t="str">
        <f>"OF 12-31-"&amp;TCOS!L4</f>
        <v>OF 12-31-2021</v>
      </c>
      <c r="G13" s="1057" t="s">
        <v>668</v>
      </c>
      <c r="H13" s="1057"/>
      <c r="I13" s="1057" t="s">
        <v>669</v>
      </c>
      <c r="J13" s="1057" t="s">
        <v>670</v>
      </c>
      <c r="K13" s="1057" t="s">
        <v>671</v>
      </c>
      <c r="L13" s="1057"/>
      <c r="M13" s="1057" t="s">
        <v>669</v>
      </c>
      <c r="N13" s="1057" t="s">
        <v>670</v>
      </c>
      <c r="O13" s="1057" t="s">
        <v>671</v>
      </c>
      <c r="P13" s="1053"/>
      <c r="Q13" s="1057" t="s">
        <v>669</v>
      </c>
      <c r="R13" s="1057" t="s">
        <v>670</v>
      </c>
      <c r="S13" s="1057" t="s">
        <v>671</v>
      </c>
    </row>
    <row r="14" spans="1:19">
      <c r="A14" s="1037"/>
      <c r="B14" s="1022"/>
      <c r="C14" s="1022"/>
      <c r="D14" s="1022"/>
      <c r="E14" s="1022"/>
      <c r="F14" s="1022"/>
      <c r="G14" s="1022"/>
      <c r="H14" s="1022"/>
      <c r="I14" s="1022"/>
      <c r="J14" s="1022"/>
      <c r="K14" s="1022"/>
      <c r="L14" s="1022"/>
      <c r="M14" s="1022"/>
      <c r="N14" s="1022"/>
      <c r="O14" s="1022"/>
      <c r="P14" s="1022"/>
      <c r="Q14" s="1022"/>
      <c r="R14" s="1022"/>
      <c r="S14" s="1022"/>
    </row>
    <row r="15" spans="1:19">
      <c r="A15" s="1052">
        <v>1</v>
      </c>
      <c r="B15" s="1018" t="s">
        <v>672</v>
      </c>
      <c r="C15" s="1030"/>
      <c r="D15" s="1030"/>
      <c r="E15" s="1030"/>
      <c r="F15" s="1031"/>
      <c r="G15" s="1030"/>
      <c r="H15" s="1030"/>
      <c r="I15" s="1030"/>
      <c r="J15" s="1030"/>
      <c r="K15" s="1030"/>
      <c r="L15" s="1030"/>
      <c r="M15" s="1030"/>
      <c r="N15" s="1030"/>
      <c r="O15" s="1030"/>
      <c r="P15" s="1030"/>
      <c r="Q15" s="1030"/>
      <c r="R15" s="1030"/>
      <c r="S15" s="1030"/>
    </row>
    <row r="16" spans="1:19">
      <c r="A16" s="1052">
        <v>2.0099999999999998</v>
      </c>
      <c r="B16" s="1018"/>
      <c r="C16" s="1030"/>
      <c r="D16" s="1030"/>
      <c r="E16" s="1030"/>
      <c r="F16" s="1030"/>
      <c r="G16" s="1030"/>
      <c r="H16" s="1030"/>
      <c r="I16" s="1030"/>
      <c r="J16" s="1030"/>
      <c r="K16" s="1030"/>
      <c r="L16" s="1030"/>
      <c r="M16" s="1030"/>
      <c r="N16" s="1030"/>
      <c r="O16" s="1030"/>
      <c r="P16" s="1030"/>
      <c r="Q16" s="1030"/>
      <c r="R16" s="1030"/>
      <c r="S16" s="1030"/>
    </row>
    <row r="17" spans="1:19">
      <c r="A17" s="1052">
        <v>2.02</v>
      </c>
      <c r="B17" s="1018"/>
      <c r="C17" s="1030">
        <f>SUM(M17:O17)</f>
        <v>0</v>
      </c>
      <c r="D17" s="1030">
        <f>SUM(Q17:S17)</f>
        <v>0</v>
      </c>
      <c r="E17" s="1030"/>
      <c r="F17" s="1030"/>
      <c r="G17" s="1030">
        <f>ROUND(SUM(C17:F17)/2,0)</f>
        <v>0</v>
      </c>
      <c r="H17" s="1030"/>
      <c r="I17" s="1030">
        <f>(M17+Q17)/2</f>
        <v>0</v>
      </c>
      <c r="J17" s="1030">
        <f>(N17+R17)/2</f>
        <v>0</v>
      </c>
      <c r="K17" s="1030">
        <f>(O17+S17)/2</f>
        <v>0</v>
      </c>
      <c r="L17" s="1030"/>
      <c r="M17" s="1018"/>
      <c r="N17" s="1018"/>
      <c r="O17" s="1018"/>
      <c r="P17" s="1030"/>
      <c r="Q17" s="1018"/>
      <c r="R17" s="1018"/>
      <c r="S17" s="1018"/>
    </row>
    <row r="18" spans="1:19">
      <c r="A18" s="1052">
        <v>2.0299999999999998</v>
      </c>
      <c r="B18" s="1018"/>
      <c r="C18" s="1030"/>
      <c r="D18" s="1030"/>
      <c r="E18" s="1030"/>
      <c r="F18" s="1030"/>
      <c r="G18" s="1030"/>
      <c r="H18" s="1030"/>
      <c r="I18" s="1030"/>
      <c r="J18" s="1030"/>
      <c r="K18" s="1030"/>
      <c r="L18" s="1030"/>
      <c r="M18" s="1030"/>
      <c r="N18" s="1030"/>
      <c r="O18" s="1030"/>
      <c r="P18" s="1030"/>
      <c r="Q18" s="1030"/>
      <c r="R18" s="1030"/>
      <c r="S18" s="1030"/>
    </row>
    <row r="19" spans="1:19">
      <c r="A19" s="1052">
        <v>2.04</v>
      </c>
      <c r="B19" s="1018"/>
      <c r="C19" s="1030">
        <v>0</v>
      </c>
      <c r="D19" s="1030">
        <v>0</v>
      </c>
      <c r="E19" s="1030">
        <f t="shared" ref="E19:F21" si="0">-C19</f>
        <v>0</v>
      </c>
      <c r="F19" s="1030">
        <f t="shared" si="0"/>
        <v>0</v>
      </c>
      <c r="G19" s="1030">
        <f>ROUND(SUM(C19:F19)/2,0)</f>
        <v>0</v>
      </c>
      <c r="H19" s="1030"/>
      <c r="I19" s="1030"/>
      <c r="J19" s="1030"/>
      <c r="K19" s="1030"/>
      <c r="L19" s="1030"/>
      <c r="M19" s="1030"/>
      <c r="N19" s="1030"/>
      <c r="O19" s="1030"/>
      <c r="P19" s="1030"/>
      <c r="Q19" s="1030"/>
      <c r="R19" s="1030"/>
      <c r="S19" s="1030"/>
    </row>
    <row r="20" spans="1:19">
      <c r="A20" s="1052">
        <v>2.0499999999999998</v>
      </c>
      <c r="B20" s="1018"/>
      <c r="C20" s="1030">
        <v>0</v>
      </c>
      <c r="D20" s="1030">
        <v>0</v>
      </c>
      <c r="E20" s="1030">
        <f t="shared" si="0"/>
        <v>0</v>
      </c>
      <c r="F20" s="1030">
        <f t="shared" si="0"/>
        <v>0</v>
      </c>
      <c r="G20" s="1030">
        <f>ROUND(SUM(C20:F20)/2,0)</f>
        <v>0</v>
      </c>
      <c r="H20" s="1030"/>
      <c r="I20" s="1030"/>
      <c r="J20" s="1030"/>
      <c r="K20" s="1030"/>
      <c r="L20" s="1030"/>
      <c r="M20" s="1030"/>
      <c r="N20" s="1030"/>
      <c r="O20" s="1030"/>
      <c r="P20" s="1030"/>
      <c r="Q20" s="1030"/>
      <c r="R20" s="1030"/>
      <c r="S20" s="1030"/>
    </row>
    <row r="21" spans="1:19">
      <c r="A21" s="1052">
        <v>2.06</v>
      </c>
      <c r="B21" s="1018"/>
      <c r="C21" s="1030">
        <v>0</v>
      </c>
      <c r="D21" s="1030">
        <v>0</v>
      </c>
      <c r="E21" s="1030">
        <f t="shared" si="0"/>
        <v>0</v>
      </c>
      <c r="F21" s="1030">
        <f t="shared" si="0"/>
        <v>0</v>
      </c>
      <c r="G21" s="1030">
        <f>ROUND(SUM(C21:F21)/2,0)</f>
        <v>0</v>
      </c>
      <c r="H21" s="1030"/>
      <c r="I21" s="1030"/>
      <c r="J21" s="1030"/>
      <c r="K21" s="1030"/>
      <c r="L21" s="1030"/>
      <c r="M21" s="1030"/>
      <c r="N21" s="1030"/>
      <c r="O21" s="1030"/>
      <c r="P21" s="1030"/>
      <c r="Q21" s="1030"/>
      <c r="R21" s="1030"/>
      <c r="S21" s="1030"/>
    </row>
    <row r="22" spans="1:19">
      <c r="A22" s="1038"/>
      <c r="B22" s="1022"/>
      <c r="C22" s="1030"/>
      <c r="D22" s="1030"/>
      <c r="E22" s="1030"/>
      <c r="F22" s="1030"/>
      <c r="G22" s="1030"/>
      <c r="H22" s="1030"/>
      <c r="I22" s="1030"/>
      <c r="J22" s="1030"/>
      <c r="K22" s="1030"/>
      <c r="L22" s="1030"/>
      <c r="M22" s="1030"/>
      <c r="N22" s="1030"/>
      <c r="O22" s="1030"/>
      <c r="P22" s="1030"/>
      <c r="Q22" s="1030"/>
      <c r="R22" s="1030"/>
      <c r="S22" s="1030"/>
    </row>
    <row r="23" spans="1:19" ht="13.5" thickBot="1">
      <c r="A23" s="1038">
        <v>3</v>
      </c>
      <c r="B23" s="1019" t="s">
        <v>673</v>
      </c>
      <c r="C23" s="1032">
        <f>SUM(C17:C22)</f>
        <v>0</v>
      </c>
      <c r="D23" s="1032">
        <f>SUM(D17:D22)</f>
        <v>0</v>
      </c>
      <c r="E23" s="1032">
        <f>SUM(E17:E22)</f>
        <v>0</v>
      </c>
      <c r="F23" s="1032">
        <f>SUM(F17:F22)</f>
        <v>0</v>
      </c>
      <c r="G23" s="1032">
        <f>SUM(G17:G22)</f>
        <v>0</v>
      </c>
      <c r="H23" s="1030"/>
      <c r="I23" s="1032">
        <f>SUM(I17:I22)</f>
        <v>0</v>
      </c>
      <c r="J23" s="1032">
        <f>SUM(J17:J22)</f>
        <v>0</v>
      </c>
      <c r="K23" s="1032">
        <f>SUM(K17:K22)</f>
        <v>0</v>
      </c>
      <c r="L23" s="1030"/>
      <c r="M23" s="1032">
        <f>SUM(M17:M22)</f>
        <v>0</v>
      </c>
      <c r="N23" s="1032">
        <f>SUM(N17:N22)</f>
        <v>0</v>
      </c>
      <c r="O23" s="1032">
        <f>SUM(O17:O22)</f>
        <v>0</v>
      </c>
      <c r="P23" s="1030"/>
      <c r="Q23" s="1032">
        <f>SUM(Q17:Q22)</f>
        <v>0</v>
      </c>
      <c r="R23" s="1032">
        <f>SUM(R17:R22)</f>
        <v>0</v>
      </c>
      <c r="S23" s="1032">
        <f>SUM(S17:S22)</f>
        <v>0</v>
      </c>
    </row>
    <row r="24" spans="1:19" ht="13.5" thickTop="1">
      <c r="A24" s="1038">
        <f>A23+1</f>
        <v>4</v>
      </c>
      <c r="B24" s="1022" t="s">
        <v>674</v>
      </c>
      <c r="C24" s="1049">
        <v>0</v>
      </c>
      <c r="D24" s="1049">
        <v>0</v>
      </c>
      <c r="E24" s="1049">
        <v>0</v>
      </c>
      <c r="F24" s="1049">
        <v>0</v>
      </c>
      <c r="G24" s="1049">
        <v>0</v>
      </c>
      <c r="H24" s="1050"/>
      <c r="I24" s="1049">
        <v>0</v>
      </c>
      <c r="J24" s="1049">
        <v>0</v>
      </c>
      <c r="K24" s="1049">
        <v>0</v>
      </c>
      <c r="L24" s="1050"/>
      <c r="M24" s="1049">
        <v>0</v>
      </c>
      <c r="N24" s="1049">
        <v>0</v>
      </c>
      <c r="O24" s="1049">
        <v>0</v>
      </c>
      <c r="P24" s="1050"/>
      <c r="Q24" s="1049">
        <v>0</v>
      </c>
      <c r="R24" s="1049">
        <v>0</v>
      </c>
      <c r="S24" s="1049">
        <v>0</v>
      </c>
    </row>
    <row r="25" spans="1:19">
      <c r="A25" s="1038"/>
      <c r="B25" s="1022"/>
      <c r="C25" s="1030"/>
      <c r="D25" s="1030"/>
      <c r="E25" s="1030"/>
      <c r="F25" s="1030"/>
      <c r="G25" s="1030"/>
      <c r="H25" s="1030"/>
      <c r="I25" s="1030"/>
      <c r="J25" s="1030"/>
      <c r="K25" s="1030"/>
      <c r="L25" s="1030"/>
      <c r="M25" s="1030"/>
      <c r="N25" s="1030"/>
      <c r="O25" s="1030"/>
      <c r="P25" s="1030"/>
      <c r="Q25" s="1030"/>
      <c r="R25" s="1030"/>
      <c r="S25" s="1030"/>
    </row>
    <row r="26" spans="1:19">
      <c r="A26" s="1038">
        <v>5</v>
      </c>
      <c r="B26" s="1019" t="s">
        <v>675</v>
      </c>
      <c r="C26" s="1030"/>
      <c r="D26" s="1030"/>
      <c r="E26" s="1030"/>
      <c r="F26" s="1030"/>
      <c r="G26" s="1030"/>
      <c r="H26" s="1030"/>
      <c r="I26" s="1030"/>
      <c r="J26" s="1030"/>
      <c r="K26" s="1030"/>
      <c r="L26" s="1030"/>
      <c r="M26" s="1030"/>
      <c r="N26" s="1030"/>
      <c r="O26" s="1030"/>
      <c r="P26" s="1030"/>
      <c r="Q26" s="1030"/>
      <c r="R26" s="1030"/>
      <c r="S26" s="1030"/>
    </row>
    <row r="27" spans="1:19">
      <c r="A27" s="1051"/>
      <c r="B27" s="1022"/>
      <c r="C27" s="1030"/>
      <c r="D27" s="1030"/>
      <c r="E27" s="1030"/>
      <c r="F27" s="1030"/>
      <c r="G27" s="1030"/>
      <c r="H27" s="1030"/>
      <c r="I27" s="1030"/>
      <c r="J27" s="1030"/>
      <c r="K27" s="1030"/>
      <c r="L27" s="1030"/>
      <c r="M27" s="1030"/>
      <c r="N27" s="1030"/>
      <c r="O27" s="1030"/>
      <c r="P27" s="1030"/>
      <c r="Q27" s="1030"/>
      <c r="R27" s="1030"/>
      <c r="S27" s="1030"/>
    </row>
    <row r="28" spans="1:19">
      <c r="A28" s="1052">
        <v>5.01</v>
      </c>
      <c r="B28" s="1018" t="s">
        <v>872</v>
      </c>
      <c r="C28" s="1030">
        <f t="shared" ref="C28:C34" si="1">SUM(M28:O28)</f>
        <v>216075258.75999999</v>
      </c>
      <c r="D28" s="1030">
        <f t="shared" ref="D28:D34" si="2">SUM(Q28:S28)</f>
        <v>235565565.19</v>
      </c>
      <c r="E28" s="1030"/>
      <c r="F28" s="1030"/>
      <c r="G28" s="1030">
        <f t="shared" ref="G28:G43" si="3">ROUND(SUM(C28:F28)/2,0)</f>
        <v>225820412</v>
      </c>
      <c r="H28" s="1030"/>
      <c r="I28" s="1030">
        <f t="shared" ref="I28:K43" si="4">(M28+Q28)/2</f>
        <v>0</v>
      </c>
      <c r="J28" s="1030">
        <f t="shared" si="4"/>
        <v>225820411.97499999</v>
      </c>
      <c r="K28" s="1030">
        <f t="shared" si="4"/>
        <v>0</v>
      </c>
      <c r="L28" s="1030"/>
      <c r="M28" s="1018"/>
      <c r="N28" s="1018">
        <v>216075258.75999999</v>
      </c>
      <c r="O28" s="1018"/>
      <c r="P28" s="1030"/>
      <c r="Q28" s="1018"/>
      <c r="R28" s="1018">
        <v>235565565.19</v>
      </c>
      <c r="S28" s="1018"/>
    </row>
    <row r="29" spans="1:19">
      <c r="A29" s="1052">
        <v>5.0199999999999996</v>
      </c>
      <c r="B29" s="1018" t="s">
        <v>893</v>
      </c>
      <c r="C29" s="1030">
        <f t="shared" si="1"/>
        <v>1983884.93</v>
      </c>
      <c r="D29" s="1030">
        <f t="shared" si="2"/>
        <v>991942.37</v>
      </c>
      <c r="E29" s="1030"/>
      <c r="F29" s="1030"/>
      <c r="G29" s="1030">
        <f>ROUND(SUM(C29:F29)/2,0)</f>
        <v>1487914</v>
      </c>
      <c r="H29" s="1030"/>
      <c r="I29" s="1030">
        <f t="shared" ref="I29:K33" si="5">(M29+Q29)/2</f>
        <v>0</v>
      </c>
      <c r="J29" s="1030">
        <f t="shared" si="5"/>
        <v>1487913.65</v>
      </c>
      <c r="K29" s="1030">
        <f t="shared" si="5"/>
        <v>0</v>
      </c>
      <c r="L29" s="1030"/>
      <c r="M29" s="1018"/>
      <c r="N29" s="1018">
        <v>1983884.93</v>
      </c>
      <c r="O29" s="1018"/>
      <c r="P29" s="1030"/>
      <c r="Q29" s="1018"/>
      <c r="R29" s="1018">
        <v>991942.37</v>
      </c>
      <c r="S29" s="1018"/>
    </row>
    <row r="30" spans="1:19">
      <c r="A30" s="1052">
        <v>5.03</v>
      </c>
      <c r="B30" s="1018" t="s">
        <v>873</v>
      </c>
      <c r="C30" s="1030">
        <f t="shared" si="1"/>
        <v>39874.800000000003</v>
      </c>
      <c r="D30" s="1030">
        <f t="shared" si="2"/>
        <v>39874.800000000003</v>
      </c>
      <c r="E30" s="1030"/>
      <c r="F30" s="1030"/>
      <c r="G30" s="1030">
        <f>ROUND(SUM(C30:F30)/2,0)</f>
        <v>39875</v>
      </c>
      <c r="H30" s="1030"/>
      <c r="I30" s="1030">
        <f t="shared" si="5"/>
        <v>0</v>
      </c>
      <c r="J30" s="1030">
        <f t="shared" si="5"/>
        <v>39874.800000000003</v>
      </c>
      <c r="K30" s="1030">
        <f t="shared" si="5"/>
        <v>0</v>
      </c>
      <c r="L30" s="1030"/>
      <c r="M30" s="1018"/>
      <c r="N30" s="1018">
        <v>39874.800000000003</v>
      </c>
      <c r="O30" s="1018"/>
      <c r="P30" s="1030"/>
      <c r="Q30" s="1018"/>
      <c r="R30" s="1018">
        <v>39874.800000000003</v>
      </c>
      <c r="S30" s="1018"/>
    </row>
    <row r="31" spans="1:19">
      <c r="A31" s="1052">
        <v>5.04</v>
      </c>
      <c r="B31" s="1018" t="s">
        <v>894</v>
      </c>
      <c r="C31" s="1030">
        <f t="shared" si="1"/>
        <v>0</v>
      </c>
      <c r="D31" s="1030">
        <f t="shared" si="2"/>
        <v>0</v>
      </c>
      <c r="E31" s="1030"/>
      <c r="F31" s="1030"/>
      <c r="G31" s="1030">
        <f>ROUND(SUM(C31:F31)/2,0)</f>
        <v>0</v>
      </c>
      <c r="H31" s="1030"/>
      <c r="I31" s="1030">
        <f t="shared" si="5"/>
        <v>0</v>
      </c>
      <c r="J31" s="1030">
        <f t="shared" si="5"/>
        <v>0</v>
      </c>
      <c r="K31" s="1030">
        <f t="shared" si="5"/>
        <v>0</v>
      </c>
      <c r="L31" s="1030"/>
      <c r="M31" s="1018"/>
      <c r="N31" s="1018">
        <v>0</v>
      </c>
      <c r="O31" s="1018"/>
      <c r="P31" s="1030"/>
      <c r="Q31" s="1018"/>
      <c r="R31" s="1018">
        <v>0</v>
      </c>
      <c r="S31" s="1018"/>
    </row>
    <row r="32" spans="1:19">
      <c r="A32" s="1052">
        <v>5.05</v>
      </c>
      <c r="B32" s="1018" t="s">
        <v>874</v>
      </c>
      <c r="C32" s="1030">
        <f t="shared" si="1"/>
        <v>-109072.11</v>
      </c>
      <c r="D32" s="1030">
        <f t="shared" si="2"/>
        <v>7630.77</v>
      </c>
      <c r="E32" s="1030"/>
      <c r="F32" s="1030"/>
      <c r="G32" s="1030">
        <f>ROUND(SUM(C32:F32)/2,0)</f>
        <v>-50721</v>
      </c>
      <c r="H32" s="1030"/>
      <c r="I32" s="1030">
        <f t="shared" si="5"/>
        <v>0</v>
      </c>
      <c r="J32" s="1030">
        <f t="shared" si="5"/>
        <v>-50720.67</v>
      </c>
      <c r="K32" s="1030">
        <f t="shared" si="5"/>
        <v>0</v>
      </c>
      <c r="L32" s="1030"/>
      <c r="M32" s="1058"/>
      <c r="N32" s="1058">
        <v>-109072.11</v>
      </c>
      <c r="O32" s="1018"/>
      <c r="P32" s="1030"/>
      <c r="Q32" s="1058"/>
      <c r="R32" s="1058">
        <v>7630.77</v>
      </c>
      <c r="S32" s="1018"/>
    </row>
    <row r="33" spans="1:19">
      <c r="A33" s="1052">
        <v>5.0599999999999996</v>
      </c>
      <c r="B33" s="1018" t="s">
        <v>875</v>
      </c>
      <c r="C33" s="1030">
        <f t="shared" si="1"/>
        <v>9187438.4299999997</v>
      </c>
      <c r="D33" s="1030">
        <f t="shared" si="2"/>
        <v>10398781.9</v>
      </c>
      <c r="E33" s="1030"/>
      <c r="F33" s="1030"/>
      <c r="G33" s="1030">
        <f>ROUND(SUM(C33:F33)/2,0)</f>
        <v>9793110</v>
      </c>
      <c r="H33" s="1030"/>
      <c r="I33" s="1030">
        <f t="shared" si="5"/>
        <v>0</v>
      </c>
      <c r="J33" s="1030">
        <f t="shared" si="5"/>
        <v>9793110.1649999991</v>
      </c>
      <c r="K33" s="1030">
        <f t="shared" si="5"/>
        <v>0</v>
      </c>
      <c r="L33" s="1030"/>
      <c r="M33" s="1018"/>
      <c r="N33" s="1018">
        <v>9187438.4299999997</v>
      </c>
      <c r="O33" s="1018"/>
      <c r="P33" s="1030"/>
      <c r="Q33" s="1018"/>
      <c r="R33" s="1018">
        <v>10398781.9</v>
      </c>
      <c r="S33" s="1018"/>
    </row>
    <row r="34" spans="1:19">
      <c r="A34" s="1052">
        <v>5.07</v>
      </c>
      <c r="B34" s="1018" t="s">
        <v>861</v>
      </c>
      <c r="C34" s="1030">
        <f t="shared" si="1"/>
        <v>-18506874.789999999</v>
      </c>
      <c r="D34" s="1030">
        <f t="shared" si="2"/>
        <v>-21215506.890000001</v>
      </c>
      <c r="E34" s="1030"/>
      <c r="F34" s="1030"/>
      <c r="G34" s="1030">
        <f t="shared" si="3"/>
        <v>-19861191</v>
      </c>
      <c r="H34" s="1030"/>
      <c r="I34" s="1030">
        <f t="shared" si="4"/>
        <v>0</v>
      </c>
      <c r="J34" s="1030">
        <f t="shared" si="4"/>
        <v>-19861190.84</v>
      </c>
      <c r="K34" s="1030">
        <f t="shared" si="4"/>
        <v>0</v>
      </c>
      <c r="L34" s="1030"/>
      <c r="M34" s="1018"/>
      <c r="N34" s="1018">
        <v>-18506874.789999999</v>
      </c>
      <c r="O34" s="1018"/>
      <c r="P34" s="1030"/>
      <c r="Q34" s="1018"/>
      <c r="R34" s="1018">
        <v>-21215506.890000001</v>
      </c>
      <c r="S34" s="1018"/>
    </row>
    <row r="35" spans="1:19">
      <c r="A35" s="1052">
        <v>5.08</v>
      </c>
      <c r="B35" s="1018" t="s">
        <v>876</v>
      </c>
      <c r="C35" s="1030">
        <f t="shared" ref="C35:C42" si="6">SUM(M35:O35)</f>
        <v>12026283.82</v>
      </c>
      <c r="D35" s="1030">
        <f t="shared" ref="D35:D42" si="7">SUM(Q35:S35)</f>
        <v>12630905.949999999</v>
      </c>
      <c r="E35" s="1030"/>
      <c r="F35" s="1030"/>
      <c r="G35" s="1030">
        <f t="shared" si="3"/>
        <v>12328595</v>
      </c>
      <c r="H35" s="1030"/>
      <c r="I35" s="1030">
        <f t="shared" si="4"/>
        <v>0</v>
      </c>
      <c r="J35" s="1030">
        <f t="shared" si="4"/>
        <v>12328594.885</v>
      </c>
      <c r="K35" s="1030">
        <f t="shared" si="4"/>
        <v>0</v>
      </c>
      <c r="L35" s="1030"/>
      <c r="M35" s="1018"/>
      <c r="N35" s="1018">
        <v>12026283.82</v>
      </c>
      <c r="O35" s="1018"/>
      <c r="P35" s="1030"/>
      <c r="Q35" s="1018"/>
      <c r="R35" s="1018">
        <v>12630905.949999999</v>
      </c>
      <c r="S35" s="1018"/>
    </row>
    <row r="36" spans="1:19">
      <c r="A36" s="1052">
        <v>5.09</v>
      </c>
      <c r="B36" s="1018" t="s">
        <v>877</v>
      </c>
      <c r="C36" s="1030">
        <f t="shared" si="6"/>
        <v>126770.7</v>
      </c>
      <c r="D36" s="1030">
        <f t="shared" si="7"/>
        <v>126770.7</v>
      </c>
      <c r="E36" s="1030"/>
      <c r="F36" s="1030"/>
      <c r="G36" s="1030">
        <f t="shared" si="3"/>
        <v>126771</v>
      </c>
      <c r="H36" s="1030"/>
      <c r="I36" s="1030">
        <f t="shared" si="4"/>
        <v>0</v>
      </c>
      <c r="J36" s="1030">
        <f t="shared" si="4"/>
        <v>126770.7</v>
      </c>
      <c r="K36" s="1030">
        <f t="shared" si="4"/>
        <v>0</v>
      </c>
      <c r="L36" s="1030"/>
      <c r="M36" s="1018"/>
      <c r="N36" s="1058">
        <v>126770.7</v>
      </c>
      <c r="O36" s="1018"/>
      <c r="P36" s="1030"/>
      <c r="Q36" s="1058"/>
      <c r="R36" s="1058">
        <v>126770.7</v>
      </c>
      <c r="S36" s="1018"/>
    </row>
    <row r="37" spans="1:19">
      <c r="A37" s="1052">
        <v>5.0999999999999996</v>
      </c>
      <c r="B37" s="1018" t="s">
        <v>878</v>
      </c>
      <c r="C37" s="1030">
        <f t="shared" si="6"/>
        <v>123723.6</v>
      </c>
      <c r="D37" s="1030">
        <f t="shared" si="7"/>
        <v>123723.6</v>
      </c>
      <c r="E37" s="1030"/>
      <c r="F37" s="1030"/>
      <c r="G37" s="1030">
        <f t="shared" si="3"/>
        <v>123724</v>
      </c>
      <c r="H37" s="1030"/>
      <c r="I37" s="1030">
        <f t="shared" si="4"/>
        <v>0</v>
      </c>
      <c r="J37" s="1030">
        <f t="shared" si="4"/>
        <v>123723.6</v>
      </c>
      <c r="K37" s="1030">
        <f t="shared" si="4"/>
        <v>0</v>
      </c>
      <c r="L37" s="1030"/>
      <c r="M37" s="1018"/>
      <c r="N37" s="1018">
        <v>123723.6</v>
      </c>
      <c r="O37" s="1018"/>
      <c r="P37" s="1030"/>
      <c r="Q37" s="1018"/>
      <c r="R37" s="1018">
        <v>123723.6</v>
      </c>
      <c r="S37" s="1018"/>
    </row>
    <row r="38" spans="1:19">
      <c r="A38" s="1052">
        <v>5.1100000000000003</v>
      </c>
      <c r="B38" s="1018" t="s">
        <v>879</v>
      </c>
      <c r="C38" s="1030">
        <f>SUM(M38:O38)</f>
        <v>26031.599999999999</v>
      </c>
      <c r="D38" s="1030">
        <f t="shared" si="7"/>
        <v>26031.599999999999</v>
      </c>
      <c r="E38" s="1030"/>
      <c r="F38" s="1030"/>
      <c r="G38" s="1030">
        <f>ROUND(SUM(C38:F38)/2,0)</f>
        <v>26032</v>
      </c>
      <c r="H38" s="1030"/>
      <c r="I38" s="1030">
        <f t="shared" si="4"/>
        <v>0</v>
      </c>
      <c r="J38" s="1030">
        <f t="shared" si="4"/>
        <v>26031.599999999999</v>
      </c>
      <c r="K38" s="1030">
        <f t="shared" si="4"/>
        <v>0</v>
      </c>
      <c r="L38" s="1030"/>
      <c r="M38" s="1018"/>
      <c r="N38" s="1018">
        <v>26031.599999999999</v>
      </c>
      <c r="O38" s="1018"/>
      <c r="P38" s="1030"/>
      <c r="Q38" s="1018"/>
      <c r="R38" s="1018">
        <v>26031.599999999999</v>
      </c>
      <c r="S38" s="1018"/>
    </row>
    <row r="39" spans="1:19">
      <c r="A39" s="1052">
        <v>5.12</v>
      </c>
      <c r="B39" s="1018" t="s">
        <v>880</v>
      </c>
      <c r="C39" s="1030">
        <f t="shared" si="6"/>
        <v>3459252.53</v>
      </c>
      <c r="D39" s="1030">
        <f t="shared" si="7"/>
        <v>3126170.69</v>
      </c>
      <c r="E39" s="1030"/>
      <c r="F39" s="1030"/>
      <c r="G39" s="1030">
        <f t="shared" si="3"/>
        <v>3292712</v>
      </c>
      <c r="H39" s="1030"/>
      <c r="I39" s="1030">
        <f t="shared" si="4"/>
        <v>0</v>
      </c>
      <c r="J39" s="1030">
        <f t="shared" si="4"/>
        <v>3292711.61</v>
      </c>
      <c r="K39" s="1030">
        <f t="shared" si="4"/>
        <v>0</v>
      </c>
      <c r="L39" s="1030"/>
      <c r="M39" s="1018"/>
      <c r="N39" s="1018">
        <v>3459252.53</v>
      </c>
      <c r="O39" s="1018"/>
      <c r="P39" s="1030"/>
      <c r="Q39" s="1018"/>
      <c r="R39" s="1018">
        <v>3126170.69</v>
      </c>
      <c r="S39" s="1018"/>
    </row>
    <row r="40" spans="1:19">
      <c r="A40" s="1052">
        <v>5.13</v>
      </c>
      <c r="B40" s="1018" t="s">
        <v>960</v>
      </c>
      <c r="C40" s="1030">
        <f t="shared" ref="C40" si="8">SUM(M40:O40)</f>
        <v>-28950.59</v>
      </c>
      <c r="D40" s="1030">
        <f t="shared" ref="D40" si="9">SUM(Q40:S40)</f>
        <v>-15938.01</v>
      </c>
      <c r="E40" s="1030"/>
      <c r="F40" s="1030"/>
      <c r="G40" s="1030">
        <f t="shared" ref="G40" si="10">ROUND(SUM(C40:F40)/2,0)</f>
        <v>-22444</v>
      </c>
      <c r="H40" s="1030"/>
      <c r="I40" s="1030">
        <f t="shared" ref="I40" si="11">(M40+Q40)/2</f>
        <v>0</v>
      </c>
      <c r="J40" s="1030">
        <f t="shared" ref="J40" si="12">(N40+R40)/2</f>
        <v>-22444.3</v>
      </c>
      <c r="K40" s="1030">
        <f t="shared" ref="K40" si="13">(O40+S40)/2</f>
        <v>0</v>
      </c>
      <c r="L40" s="1030"/>
      <c r="M40" s="1018"/>
      <c r="N40" s="1018">
        <v>-28950.59</v>
      </c>
      <c r="O40" s="1018"/>
      <c r="P40" s="1030"/>
      <c r="Q40" s="1018"/>
      <c r="R40" s="1018">
        <v>-15938.01</v>
      </c>
      <c r="S40" s="1018"/>
    </row>
    <row r="41" spans="1:19">
      <c r="A41" s="1052">
        <v>5.14</v>
      </c>
      <c r="B41" s="1018" t="s">
        <v>881</v>
      </c>
      <c r="C41" s="1030">
        <f t="shared" si="6"/>
        <v>472236.03</v>
      </c>
      <c r="D41" s="1030">
        <f t="shared" si="7"/>
        <v>728677.95</v>
      </c>
      <c r="E41" s="1030"/>
      <c r="F41" s="1030"/>
      <c r="G41" s="1030">
        <f t="shared" si="3"/>
        <v>600457</v>
      </c>
      <c r="H41" s="1030"/>
      <c r="I41" s="1030">
        <f t="shared" si="4"/>
        <v>0</v>
      </c>
      <c r="J41" s="1030">
        <f t="shared" si="4"/>
        <v>600456.99</v>
      </c>
      <c r="K41" s="1030">
        <f t="shared" si="4"/>
        <v>0</v>
      </c>
      <c r="L41" s="1030"/>
      <c r="M41" s="1018"/>
      <c r="N41" s="1018">
        <v>472236.03</v>
      </c>
      <c r="O41" s="1018"/>
      <c r="P41" s="1030"/>
      <c r="Q41" s="1018"/>
      <c r="R41" s="1018">
        <v>728677.95</v>
      </c>
      <c r="S41" s="1018"/>
    </row>
    <row r="42" spans="1:19">
      <c r="A42" s="1052">
        <v>5.15</v>
      </c>
      <c r="B42" s="1018" t="s">
        <v>882</v>
      </c>
      <c r="C42" s="1030">
        <f t="shared" si="6"/>
        <v>106869587.84</v>
      </c>
      <c r="D42" s="1030">
        <f t="shared" si="7"/>
        <v>106747947.84</v>
      </c>
      <c r="E42" s="1030"/>
      <c r="F42" s="1030"/>
      <c r="G42" s="1030">
        <f t="shared" si="3"/>
        <v>106808768</v>
      </c>
      <c r="H42" s="1030"/>
      <c r="I42" s="1030">
        <f t="shared" si="4"/>
        <v>0</v>
      </c>
      <c r="J42" s="1030">
        <f t="shared" si="4"/>
        <v>106808767.84</v>
      </c>
      <c r="K42" s="1030">
        <f t="shared" si="4"/>
        <v>0</v>
      </c>
      <c r="L42" s="1030"/>
      <c r="M42" s="1018"/>
      <c r="N42" s="1018">
        <v>106869587.84</v>
      </c>
      <c r="O42" s="1018"/>
      <c r="P42" s="1030"/>
      <c r="Q42" s="1018"/>
      <c r="R42" s="1018">
        <v>106747947.84</v>
      </c>
      <c r="S42" s="1018"/>
    </row>
    <row r="43" spans="1:19">
      <c r="A43" s="1052">
        <v>5.16</v>
      </c>
      <c r="B43" s="1018" t="s">
        <v>883</v>
      </c>
      <c r="C43" s="1030">
        <f>SUM(M43:O43)</f>
        <v>-1768259.69</v>
      </c>
      <c r="D43" s="1030">
        <f>SUM(Q43:S43)</f>
        <v>-1570857.69</v>
      </c>
      <c r="E43" s="1030"/>
      <c r="F43" s="1030"/>
      <c r="G43" s="1030">
        <f t="shared" si="3"/>
        <v>-1669559</v>
      </c>
      <c r="H43" s="1030"/>
      <c r="I43" s="1030">
        <f t="shared" si="4"/>
        <v>0</v>
      </c>
      <c r="J43" s="1030">
        <f t="shared" si="4"/>
        <v>-1669558.69</v>
      </c>
      <c r="K43" s="1030">
        <f t="shared" si="4"/>
        <v>0</v>
      </c>
      <c r="L43" s="1030"/>
      <c r="M43" s="1018"/>
      <c r="N43" s="1018">
        <v>-1768259.69</v>
      </c>
      <c r="O43" s="1018"/>
      <c r="P43" s="1030"/>
      <c r="Q43" s="1018"/>
      <c r="R43" s="1018">
        <v>-1570857.69</v>
      </c>
      <c r="S43" s="1018"/>
    </row>
    <row r="44" spans="1:19">
      <c r="A44" s="1052">
        <v>5.17</v>
      </c>
      <c r="B44" s="1412" t="s">
        <v>966</v>
      </c>
      <c r="C44" s="1412">
        <f t="shared" ref="C44" si="14">SUM(M44:O44)</f>
        <v>-75991454.870817199</v>
      </c>
      <c r="D44" s="1412">
        <f t="shared" ref="D44" si="15">SUM(Q44:S44)</f>
        <v>-68281710.772239223</v>
      </c>
      <c r="E44" s="1413"/>
      <c r="F44" s="1413"/>
      <c r="G44" s="1414">
        <f t="shared" ref="G44:G45" si="16">ROUND(SUM(C44:F44)/2,0)</f>
        <v>-72136583</v>
      </c>
      <c r="H44" s="1414"/>
      <c r="I44" s="1414">
        <f t="shared" ref="I44:K44" si="17">(M44+Q44)/2</f>
        <v>0</v>
      </c>
      <c r="J44" s="1414">
        <f t="shared" si="17"/>
        <v>-72136582.821528211</v>
      </c>
      <c r="K44" s="1414">
        <f t="shared" si="17"/>
        <v>0</v>
      </c>
      <c r="L44" s="1030"/>
      <c r="M44" s="1018"/>
      <c r="N44" s="1018">
        <v>-75991454.870817199</v>
      </c>
      <c r="O44" s="1018"/>
      <c r="P44" s="1030"/>
      <c r="Q44" s="1018"/>
      <c r="R44" s="1018">
        <v>-68281710.772239223</v>
      </c>
      <c r="S44" s="1018"/>
    </row>
    <row r="45" spans="1:19">
      <c r="A45" s="1052">
        <v>5.18</v>
      </c>
      <c r="B45" s="1412" t="s">
        <v>967</v>
      </c>
      <c r="C45" s="1412">
        <f>-E45</f>
        <v>75991454.870817199</v>
      </c>
      <c r="D45" s="1412">
        <f>-F45</f>
        <v>68281710.772239223</v>
      </c>
      <c r="E45" s="1413">
        <f>C44</f>
        <v>-75991454.870817199</v>
      </c>
      <c r="F45" s="1413">
        <f>D44</f>
        <v>-68281710.772239223</v>
      </c>
      <c r="G45" s="1414">
        <f t="shared" si="16"/>
        <v>0</v>
      </c>
      <c r="H45" s="1414"/>
      <c r="I45" s="1414"/>
      <c r="J45" s="1414"/>
      <c r="K45" s="1414"/>
      <c r="L45" s="1030"/>
      <c r="M45" s="1018"/>
      <c r="N45" s="1018"/>
      <c r="O45" s="1018"/>
      <c r="P45" s="1030"/>
      <c r="Q45" s="1018"/>
      <c r="R45" s="1018"/>
      <c r="S45" s="1018"/>
    </row>
    <row r="46" spans="1:19">
      <c r="A46" s="1052">
        <v>5.19</v>
      </c>
      <c r="B46" s="1018" t="s">
        <v>866</v>
      </c>
      <c r="C46" s="1018">
        <f>SUM(M46:O46)</f>
        <v>0</v>
      </c>
      <c r="D46" s="1018">
        <f>SUM(Q46:S46)</f>
        <v>0</v>
      </c>
      <c r="E46" s="1030">
        <v>0</v>
      </c>
      <c r="F46" s="1030">
        <v>0</v>
      </c>
      <c r="G46" s="1030">
        <f>ROUND(SUM(C46:F46)/2,0)</f>
        <v>0</v>
      </c>
      <c r="H46" s="1030"/>
      <c r="I46" s="1030">
        <f t="shared" ref="I46:K48" si="18">(M46+Q46)/2</f>
        <v>0</v>
      </c>
      <c r="J46" s="1030">
        <f t="shared" si="18"/>
        <v>0</v>
      </c>
      <c r="K46" s="1030">
        <f t="shared" si="18"/>
        <v>0</v>
      </c>
      <c r="L46" s="1030"/>
      <c r="M46" s="1018"/>
      <c r="N46" s="1018"/>
      <c r="O46" s="1018"/>
      <c r="P46" s="1030"/>
      <c r="Q46" s="1018"/>
      <c r="R46" s="1018"/>
      <c r="S46" s="1018"/>
    </row>
    <row r="47" spans="1:19">
      <c r="A47" s="1052">
        <v>5.2</v>
      </c>
      <c r="B47" s="1018" t="s">
        <v>884</v>
      </c>
      <c r="C47" s="1018">
        <f>-E47</f>
        <v>26075581.059999999</v>
      </c>
      <c r="D47" s="1018">
        <f>-F47</f>
        <v>29104171.800000001</v>
      </c>
      <c r="E47" s="1030">
        <v>-26075581.059999999</v>
      </c>
      <c r="F47" s="1030">
        <v>-29104171.800000001</v>
      </c>
      <c r="G47" s="1030">
        <f>ROUND(SUM(C47:F47)/2,0)</f>
        <v>0</v>
      </c>
      <c r="H47" s="1030"/>
      <c r="I47" s="1030">
        <f t="shared" si="18"/>
        <v>0</v>
      </c>
      <c r="J47" s="1030">
        <f t="shared" si="18"/>
        <v>0</v>
      </c>
      <c r="K47" s="1030">
        <f t="shared" si="18"/>
        <v>0</v>
      </c>
      <c r="L47" s="1030"/>
      <c r="M47" s="1018"/>
      <c r="N47" s="1018"/>
      <c r="O47" s="1018"/>
      <c r="P47" s="1030"/>
      <c r="Q47" s="1018"/>
      <c r="R47" s="1018"/>
      <c r="S47" s="1018"/>
    </row>
    <row r="48" spans="1:19">
      <c r="A48" s="1052">
        <v>5.21</v>
      </c>
      <c r="B48" s="1018" t="s">
        <v>885</v>
      </c>
      <c r="C48" s="1018">
        <f>-E48</f>
        <v>-105101328.15000001</v>
      </c>
      <c r="D48" s="1018">
        <f>-F48</f>
        <v>-105177090.15000001</v>
      </c>
      <c r="E48" s="1030">
        <v>105101328.15000001</v>
      </c>
      <c r="F48" s="1030">
        <v>105177090.15000001</v>
      </c>
      <c r="G48" s="1030">
        <f>ROUND(SUM(C48:F48)/2,0)</f>
        <v>0</v>
      </c>
      <c r="H48" s="1030"/>
      <c r="I48" s="1030">
        <f t="shared" si="18"/>
        <v>0</v>
      </c>
      <c r="J48" s="1030">
        <f t="shared" si="18"/>
        <v>0</v>
      </c>
      <c r="K48" s="1030">
        <f t="shared" si="18"/>
        <v>0</v>
      </c>
      <c r="L48" s="1030"/>
      <c r="M48" s="1018"/>
      <c r="N48" s="1018"/>
      <c r="O48" s="1018"/>
      <c r="P48" s="1030"/>
      <c r="Q48" s="1018"/>
      <c r="R48" s="1018"/>
      <c r="S48" s="1018"/>
    </row>
    <row r="49" spans="1:19">
      <c r="A49" s="1011"/>
    </row>
    <row r="50" spans="1:19">
      <c r="A50" s="1038"/>
      <c r="B50" s="1022"/>
      <c r="C50" s="1030"/>
      <c r="D50" s="1030"/>
      <c r="E50" s="1030"/>
      <c r="F50" s="1030"/>
      <c r="G50" s="1030"/>
      <c r="H50" s="1030"/>
      <c r="I50" s="1030"/>
      <c r="J50" s="1030"/>
      <c r="K50" s="1030"/>
      <c r="L50" s="1030"/>
      <c r="M50" s="1030"/>
      <c r="N50" s="1030"/>
      <c r="O50" s="1030"/>
      <c r="P50" s="1030"/>
      <c r="Q50" s="1030"/>
      <c r="R50" s="1030"/>
      <c r="S50" s="1030"/>
    </row>
    <row r="51" spans="1:19" ht="13.5" thickBot="1">
      <c r="A51" s="1038">
        <v>6</v>
      </c>
      <c r="B51" s="1019" t="s">
        <v>676</v>
      </c>
      <c r="C51" s="1032">
        <f>SUM(C28:C50)</f>
        <v>250951438.76999995</v>
      </c>
      <c r="D51" s="1032">
        <f>SUM(D28:D50)</f>
        <v>271638802.42000008</v>
      </c>
      <c r="E51" s="1032">
        <f>SUM(E28:E50)</f>
        <v>3034292.2191828042</v>
      </c>
      <c r="F51" s="1032">
        <f>SUM(F28:F50)</f>
        <v>7791207.5777607858</v>
      </c>
      <c r="G51" s="1032">
        <f>SUM(G28:G50)</f>
        <v>266707872</v>
      </c>
      <c r="H51" s="1030"/>
      <c r="I51" s="1032">
        <f>SUM(I28:I50)</f>
        <v>0</v>
      </c>
      <c r="J51" s="1032">
        <f>SUM(J28:J50)</f>
        <v>266707870.4934718</v>
      </c>
      <c r="K51" s="1032">
        <f>SUM(K28:K50)</f>
        <v>0</v>
      </c>
      <c r="L51" s="1030"/>
      <c r="M51" s="1032">
        <f>SUM(M28:M50)</f>
        <v>0</v>
      </c>
      <c r="N51" s="1032">
        <f>SUM(N28:N50)</f>
        <v>253985730.98918277</v>
      </c>
      <c r="O51" s="1032">
        <f>SUM(O28:O50)</f>
        <v>0</v>
      </c>
      <c r="P51" s="1030"/>
      <c r="Q51" s="1032">
        <f>SUM(Q28:Q50)</f>
        <v>0</v>
      </c>
      <c r="R51" s="1032">
        <f>SUM(R28:R50)</f>
        <v>279430009.99776083</v>
      </c>
      <c r="S51" s="1032">
        <f>SUM(S28:S50)</f>
        <v>0</v>
      </c>
    </row>
    <row r="52" spans="1:19" ht="13.5" thickTop="1">
      <c r="A52" s="1038">
        <f>A51+1</f>
        <v>7</v>
      </c>
      <c r="B52" s="1022" t="s">
        <v>677</v>
      </c>
      <c r="C52" s="1033">
        <v>0</v>
      </c>
      <c r="D52" s="1033">
        <v>0</v>
      </c>
      <c r="E52" s="1033">
        <v>0</v>
      </c>
      <c r="F52" s="1033">
        <v>0</v>
      </c>
      <c r="G52" s="1033">
        <v>0</v>
      </c>
      <c r="H52" s="1030"/>
      <c r="I52" s="1033">
        <v>0</v>
      </c>
      <c r="J52" s="1033">
        <v>0</v>
      </c>
      <c r="K52" s="1033">
        <v>0</v>
      </c>
      <c r="L52" s="1033"/>
      <c r="M52" s="1033">
        <v>0</v>
      </c>
      <c r="N52" s="1033">
        <v>0</v>
      </c>
      <c r="O52" s="1033">
        <v>0</v>
      </c>
      <c r="P52" s="1030"/>
      <c r="Q52" s="1033">
        <v>0</v>
      </c>
      <c r="R52" s="1033">
        <v>0</v>
      </c>
      <c r="S52" s="1033">
        <v>0</v>
      </c>
    </row>
    <row r="53" spans="1:19">
      <c r="A53" s="1038"/>
      <c r="B53" s="1019"/>
      <c r="C53" s="1030"/>
      <c r="D53" s="1034"/>
      <c r="E53" s="1030"/>
      <c r="F53" s="1030"/>
      <c r="G53" s="1030"/>
      <c r="H53" s="1030"/>
      <c r="I53" s="1030"/>
      <c r="J53" s="1030"/>
      <c r="K53" s="1030"/>
      <c r="L53" s="1030"/>
      <c r="M53" s="1030"/>
      <c r="N53" s="1030"/>
      <c r="O53" s="1030"/>
      <c r="P53" s="1030"/>
      <c r="Q53" s="1030"/>
      <c r="R53" s="1030"/>
      <c r="S53" s="1030"/>
    </row>
    <row r="54" spans="1:19">
      <c r="A54" s="1038">
        <v>8</v>
      </c>
      <c r="B54" s="1016" t="s">
        <v>678</v>
      </c>
      <c r="C54" s="1030" t="s">
        <v>416</v>
      </c>
      <c r="D54" s="1030"/>
      <c r="E54" s="1030"/>
      <c r="F54" s="1030"/>
      <c r="G54" s="1030"/>
      <c r="H54" s="1030"/>
      <c r="I54" s="1030"/>
      <c r="J54" s="1030"/>
      <c r="K54" s="1030"/>
      <c r="L54" s="1030"/>
      <c r="M54" s="1030"/>
      <c r="N54" s="1030"/>
      <c r="O54" s="1030"/>
      <c r="P54" s="1030"/>
      <c r="Q54" s="1030"/>
      <c r="R54" s="1030"/>
      <c r="S54" s="1030"/>
    </row>
    <row r="55" spans="1:19">
      <c r="A55" s="1038"/>
      <c r="B55" s="1022"/>
      <c r="C55" s="1030"/>
      <c r="D55" s="1030"/>
      <c r="E55" s="1030"/>
      <c r="F55" s="1030"/>
      <c r="G55" s="1030"/>
      <c r="H55" s="1030"/>
      <c r="I55" s="1030"/>
      <c r="J55" s="1030"/>
      <c r="K55" s="1030"/>
      <c r="L55" s="1030"/>
      <c r="M55" s="1030"/>
      <c r="N55" s="1030"/>
      <c r="O55" s="1030"/>
      <c r="P55" s="1030"/>
      <c r="Q55" s="1030"/>
      <c r="R55" s="1030"/>
      <c r="S55" s="1030"/>
    </row>
    <row r="56" spans="1:19">
      <c r="A56" s="1052">
        <v>9.01</v>
      </c>
      <c r="B56" s="1018" t="s">
        <v>886</v>
      </c>
      <c r="C56" s="1030">
        <f>SUM(M56:O56)</f>
        <v>0.02</v>
      </c>
      <c r="D56" s="1030">
        <f>SUM(Q56:S56)</f>
        <v>0.02</v>
      </c>
      <c r="E56" s="1030"/>
      <c r="F56" s="1030"/>
      <c r="G56" s="1030">
        <f>ROUND(SUM(C56:F56)/2,0)</f>
        <v>0</v>
      </c>
      <c r="H56" s="1030"/>
      <c r="I56" s="1030">
        <f>(M56+Q56)/2</f>
        <v>0</v>
      </c>
      <c r="J56" s="1030">
        <f>(N56+R56)/2</f>
        <v>0.02</v>
      </c>
      <c r="K56" s="1030">
        <f>(O56+S56)/2</f>
        <v>0</v>
      </c>
      <c r="L56" s="1030"/>
      <c r="M56" s="1018"/>
      <c r="N56" s="1018">
        <v>0.02</v>
      </c>
      <c r="O56" s="1018"/>
      <c r="P56" s="1030"/>
      <c r="Q56" s="1018"/>
      <c r="R56" s="1018">
        <v>0.02</v>
      </c>
      <c r="S56" s="1018"/>
    </row>
    <row r="57" spans="1:19">
      <c r="A57" s="1052">
        <f>A56+0.01</f>
        <v>9.02</v>
      </c>
      <c r="B57" s="1018" t="s">
        <v>887</v>
      </c>
      <c r="C57" s="1030">
        <f>SUM(M57:O57)</f>
        <v>0</v>
      </c>
      <c r="D57" s="1030">
        <f>SUM(Q57:S57)</f>
        <v>0</v>
      </c>
      <c r="E57" s="1030"/>
      <c r="F57" s="1030"/>
      <c r="G57" s="1030">
        <f>ROUND(SUM(C57:F57)/2,0)</f>
        <v>0</v>
      </c>
      <c r="H57" s="1030"/>
      <c r="I57" s="1030">
        <f t="shared" ref="I57:K59" si="19">(M57+Q57)/2</f>
        <v>0</v>
      </c>
      <c r="J57" s="1030">
        <f t="shared" si="19"/>
        <v>0</v>
      </c>
      <c r="K57" s="1030">
        <f t="shared" si="19"/>
        <v>0</v>
      </c>
      <c r="L57" s="1030"/>
      <c r="M57" s="1018"/>
      <c r="N57" s="1018">
        <v>0</v>
      </c>
      <c r="O57" s="1018"/>
      <c r="P57" s="1030"/>
      <c r="Q57" s="1018"/>
      <c r="R57" s="1018">
        <v>0</v>
      </c>
      <c r="S57" s="1018"/>
    </row>
    <row r="58" spans="1:19">
      <c r="A58" s="1052">
        <f t="shared" ref="A58:A66" si="20">A57+0.01</f>
        <v>9.0299999999999994</v>
      </c>
      <c r="B58" s="1018" t="s">
        <v>883</v>
      </c>
      <c r="C58" s="1030">
        <f>SUM(M58:O58)</f>
        <v>-9365121.1400000006</v>
      </c>
      <c r="D58" s="1030">
        <f>SUM(Q58:S58)</f>
        <v>-8319634.1399999997</v>
      </c>
      <c r="E58" s="1030"/>
      <c r="F58" s="1030"/>
      <c r="G58" s="1030">
        <f>ROUND(SUM(C58:F58)/2,0)</f>
        <v>-8842378</v>
      </c>
      <c r="H58" s="1030"/>
      <c r="I58" s="1030">
        <f t="shared" si="19"/>
        <v>0</v>
      </c>
      <c r="J58" s="1030">
        <f t="shared" si="19"/>
        <v>-8842377.6400000006</v>
      </c>
      <c r="K58" s="1030">
        <f t="shared" si="19"/>
        <v>0</v>
      </c>
      <c r="L58" s="1030"/>
      <c r="M58" s="1018"/>
      <c r="N58" s="1018">
        <v>-9365121.1400000006</v>
      </c>
      <c r="O58" s="1018"/>
      <c r="P58" s="1030"/>
      <c r="Q58" s="1018"/>
      <c r="R58" s="1018">
        <v>-8319634.1399999997</v>
      </c>
      <c r="S58" s="1018"/>
    </row>
    <row r="59" spans="1:19">
      <c r="A59" s="1052">
        <f t="shared" si="20"/>
        <v>9.0399999999999991</v>
      </c>
      <c r="B59" s="1412" t="s">
        <v>966</v>
      </c>
      <c r="C59" s="1412">
        <f t="shared" ref="C59" si="21">SUM(M59:O59)</f>
        <v>2438317</v>
      </c>
      <c r="D59" s="1412">
        <f t="shared" ref="D59" si="22">SUM(Q59:S59)</f>
        <v>0</v>
      </c>
      <c r="E59" s="1413"/>
      <c r="F59" s="1413"/>
      <c r="G59" s="1414">
        <f t="shared" ref="G59:G60" si="23">ROUND(SUM(C59:F59)/2,0)</f>
        <v>1219159</v>
      </c>
      <c r="H59" s="1414"/>
      <c r="I59" s="1414">
        <f t="shared" si="19"/>
        <v>0</v>
      </c>
      <c r="J59" s="1414">
        <f t="shared" si="19"/>
        <v>1219158.5</v>
      </c>
      <c r="K59" s="1414">
        <f t="shared" si="19"/>
        <v>0</v>
      </c>
      <c r="L59" s="1030"/>
      <c r="M59" s="1018"/>
      <c r="N59" s="1018">
        <v>2438317</v>
      </c>
      <c r="O59" s="1018"/>
      <c r="P59" s="1030"/>
      <c r="Q59" s="1018"/>
      <c r="R59" s="1018">
        <v>0</v>
      </c>
      <c r="S59" s="1018"/>
    </row>
    <row r="60" spans="1:19">
      <c r="A60" s="1052">
        <f t="shared" si="20"/>
        <v>9.0499999999999989</v>
      </c>
      <c r="B60" s="1412" t="s">
        <v>967</v>
      </c>
      <c r="C60" s="1412">
        <f>-E60</f>
        <v>-2438317</v>
      </c>
      <c r="D60" s="1412">
        <f>-F60</f>
        <v>0</v>
      </c>
      <c r="E60" s="1413">
        <f>C59</f>
        <v>2438317</v>
      </c>
      <c r="F60" s="1413">
        <f>D59</f>
        <v>0</v>
      </c>
      <c r="G60" s="1414">
        <f t="shared" si="23"/>
        <v>0</v>
      </c>
      <c r="H60" s="1414"/>
      <c r="I60" s="1414"/>
      <c r="J60" s="1414"/>
      <c r="K60" s="1414"/>
      <c r="L60" s="1030"/>
      <c r="M60" s="1018"/>
      <c r="N60" s="1018"/>
      <c r="O60" s="1018"/>
      <c r="P60" s="1030"/>
      <c r="Q60" s="1018"/>
      <c r="R60" s="1018"/>
      <c r="S60" s="1018"/>
    </row>
    <row r="61" spans="1:19">
      <c r="A61" s="1052">
        <f t="shared" si="20"/>
        <v>9.0599999999999987</v>
      </c>
      <c r="B61" s="1018" t="s">
        <v>888</v>
      </c>
      <c r="C61" s="1018">
        <v>0</v>
      </c>
      <c r="D61" s="1018">
        <v>0</v>
      </c>
      <c r="E61" s="1030">
        <v>0</v>
      </c>
      <c r="F61" s="1030">
        <v>0</v>
      </c>
      <c r="G61" s="1030">
        <f t="shared" ref="G61:G66" si="24">ROUND(SUM(C61:F61)/2,0)</f>
        <v>0</v>
      </c>
      <c r="H61" s="1030"/>
      <c r="I61" s="1030"/>
      <c r="J61" s="1030"/>
      <c r="K61" s="1030"/>
      <c r="L61" s="1030"/>
      <c r="M61" s="1030"/>
      <c r="N61" s="1030"/>
      <c r="O61" s="1030"/>
      <c r="P61" s="1030"/>
      <c r="Q61" s="1030"/>
      <c r="R61" s="1030"/>
      <c r="S61" s="1030"/>
    </row>
    <row r="62" spans="1:19">
      <c r="A62" s="1052">
        <f t="shared" si="20"/>
        <v>9.0699999999999985</v>
      </c>
      <c r="B62" s="1018" t="s">
        <v>889</v>
      </c>
      <c r="C62" s="1018">
        <f>-E62</f>
        <v>5876346.0499999998</v>
      </c>
      <c r="D62" s="1018">
        <f>-F62</f>
        <v>6681414.4400000004</v>
      </c>
      <c r="E62" s="1030">
        <v>-5876346.0499999998</v>
      </c>
      <c r="F62" s="1030">
        <v>-6681414.4400000004</v>
      </c>
      <c r="G62" s="1030">
        <f t="shared" si="24"/>
        <v>0</v>
      </c>
      <c r="H62" s="1030"/>
      <c r="I62" s="1030"/>
      <c r="J62" s="1030"/>
      <c r="K62" s="1030"/>
      <c r="L62" s="1030"/>
      <c r="M62" s="1030"/>
      <c r="N62" s="1030"/>
      <c r="O62" s="1030"/>
      <c r="P62" s="1030"/>
      <c r="Q62" s="1030"/>
      <c r="R62" s="1030"/>
      <c r="S62" s="1030"/>
    </row>
    <row r="63" spans="1:19">
      <c r="A63" s="1052">
        <f t="shared" si="20"/>
        <v>9.0799999999999983</v>
      </c>
      <c r="B63" s="1018" t="s">
        <v>890</v>
      </c>
      <c r="C63" s="1018">
        <f>-E63</f>
        <v>9365121.1400000006</v>
      </c>
      <c r="D63" s="1018">
        <f>-F63</f>
        <v>8319634.1399999997</v>
      </c>
      <c r="E63" s="1030">
        <v>-9365121.1400000006</v>
      </c>
      <c r="F63" s="1030">
        <v>-8319634.1399999997</v>
      </c>
      <c r="G63" s="1030">
        <f t="shared" si="24"/>
        <v>0</v>
      </c>
      <c r="H63" s="1030"/>
      <c r="I63" s="1030"/>
      <c r="J63" s="1030"/>
      <c r="K63" s="1030"/>
      <c r="L63" s="1030"/>
      <c r="M63" s="1030"/>
      <c r="N63" s="1030"/>
      <c r="O63" s="1030"/>
      <c r="P63" s="1030"/>
      <c r="Q63" s="1030"/>
      <c r="R63" s="1030"/>
      <c r="S63" s="1030"/>
    </row>
    <row r="64" spans="1:19">
      <c r="A64" s="1052">
        <f t="shared" si="20"/>
        <v>9.0899999999999981</v>
      </c>
      <c r="B64" s="1018" t="s">
        <v>891</v>
      </c>
      <c r="C64" s="1018">
        <v>0</v>
      </c>
      <c r="D64" s="1018">
        <v>0</v>
      </c>
      <c r="E64" s="1030">
        <v>0</v>
      </c>
      <c r="F64" s="1030">
        <v>0</v>
      </c>
      <c r="G64" s="1030">
        <f t="shared" si="24"/>
        <v>0</v>
      </c>
      <c r="H64" s="1030"/>
      <c r="I64" s="1030"/>
      <c r="J64" s="1030"/>
      <c r="K64" s="1030"/>
      <c r="L64" s="1030"/>
      <c r="M64" s="1030"/>
      <c r="N64" s="1030"/>
      <c r="O64" s="1030"/>
      <c r="P64" s="1030"/>
      <c r="Q64" s="1030"/>
      <c r="R64" s="1030"/>
      <c r="S64" s="1030"/>
    </row>
    <row r="65" spans="1:19">
      <c r="A65" s="1052">
        <f t="shared" si="20"/>
        <v>9.0999999999999979</v>
      </c>
      <c r="B65" s="1018" t="s">
        <v>892</v>
      </c>
      <c r="C65" s="1018">
        <v>0</v>
      </c>
      <c r="D65" s="1018">
        <v>0</v>
      </c>
      <c r="E65" s="1030">
        <v>0</v>
      </c>
      <c r="F65" s="1030">
        <v>0</v>
      </c>
      <c r="G65" s="1030">
        <f t="shared" si="24"/>
        <v>0</v>
      </c>
      <c r="H65" s="1030"/>
      <c r="I65" s="1030"/>
      <c r="J65" s="1030"/>
      <c r="K65" s="1030"/>
      <c r="L65" s="1030"/>
      <c r="M65" s="1030"/>
      <c r="N65" s="1030"/>
      <c r="O65" s="1030"/>
      <c r="P65" s="1030"/>
      <c r="Q65" s="1030"/>
      <c r="R65" s="1030"/>
      <c r="S65" s="1030"/>
    </row>
    <row r="66" spans="1:19">
      <c r="A66" s="1052">
        <f t="shared" si="20"/>
        <v>9.1099999999999977</v>
      </c>
      <c r="B66" s="1018"/>
      <c r="C66" s="1018"/>
      <c r="D66" s="1018"/>
      <c r="E66" s="1030">
        <f>-C66</f>
        <v>0</v>
      </c>
      <c r="F66" s="1030">
        <f>-D66</f>
        <v>0</v>
      </c>
      <c r="G66" s="1030">
        <f t="shared" si="24"/>
        <v>0</v>
      </c>
      <c r="H66" s="1030"/>
      <c r="I66" s="1030"/>
      <c r="J66" s="1030"/>
      <c r="K66" s="1030"/>
      <c r="L66" s="1030"/>
      <c r="M66" s="1030"/>
      <c r="N66" s="1030"/>
      <c r="O66" s="1030"/>
      <c r="P66" s="1030"/>
      <c r="Q66" s="1030"/>
      <c r="R66" s="1030"/>
      <c r="S66" s="1030"/>
    </row>
    <row r="67" spans="1:19">
      <c r="A67" s="1038"/>
      <c r="B67" s="1022"/>
      <c r="C67" s="1030"/>
      <c r="D67" s="1030"/>
      <c r="E67" s="1030"/>
      <c r="F67" s="1030"/>
      <c r="G67" s="1030"/>
      <c r="H67" s="1030"/>
      <c r="I67" s="1030"/>
      <c r="J67" s="1030"/>
      <c r="K67" s="1030"/>
      <c r="L67" s="1030"/>
      <c r="M67" s="1030"/>
      <c r="N67" s="1030"/>
      <c r="O67" s="1030"/>
      <c r="P67" s="1030"/>
      <c r="Q67" s="1030"/>
      <c r="R67" s="1030"/>
      <c r="S67" s="1030"/>
    </row>
    <row r="68" spans="1:19">
      <c r="A68" s="1038"/>
      <c r="B68" s="1022"/>
      <c r="C68" s="1030"/>
      <c r="D68" s="1030"/>
      <c r="E68" s="1030"/>
      <c r="F68" s="1030"/>
      <c r="G68" s="1030"/>
      <c r="H68" s="1030"/>
      <c r="I68" s="1030"/>
      <c r="J68" s="1030"/>
      <c r="K68" s="1030"/>
      <c r="L68" s="1030"/>
      <c r="M68" s="1030"/>
      <c r="N68" s="1030"/>
      <c r="O68" s="1030"/>
      <c r="P68" s="1030"/>
      <c r="Q68" s="1030"/>
      <c r="R68" s="1030"/>
      <c r="S68" s="1030"/>
    </row>
    <row r="69" spans="1:19" ht="13.5" thickBot="1">
      <c r="A69" s="1038">
        <v>10</v>
      </c>
      <c r="B69" s="1019"/>
      <c r="C69" s="1032">
        <f>SUM(C56:C68)</f>
        <v>5876346.0699999994</v>
      </c>
      <c r="D69" s="1032">
        <f>SUM(D56:D68)</f>
        <v>6681414.46</v>
      </c>
      <c r="E69" s="1032">
        <f>SUM(E56:E68)</f>
        <v>-12803150.190000001</v>
      </c>
      <c r="F69" s="1032">
        <f>SUM(F56:F68)</f>
        <v>-15001048.58</v>
      </c>
      <c r="G69" s="1032">
        <f>SUM(G56:G68)</f>
        <v>-7623219</v>
      </c>
      <c r="H69" s="1030"/>
      <c r="I69" s="1032">
        <f>SUM(I56:I68)</f>
        <v>0</v>
      </c>
      <c r="J69" s="1032">
        <f>SUM(J56:J68)</f>
        <v>-7623219.120000001</v>
      </c>
      <c r="K69" s="1032">
        <f>SUM(K56:K68)</f>
        <v>0</v>
      </c>
      <c r="L69" s="1030"/>
      <c r="M69" s="1032">
        <f>SUM(M56:M68)</f>
        <v>0</v>
      </c>
      <c r="N69" s="1032">
        <f>SUM(N56:N68)</f>
        <v>-6926804.120000001</v>
      </c>
      <c r="O69" s="1032">
        <f>SUM(O56:O68)</f>
        <v>0</v>
      </c>
      <c r="P69" s="1030"/>
      <c r="Q69" s="1032">
        <f>SUM(Q56:Q68)</f>
        <v>0</v>
      </c>
      <c r="R69" s="1032">
        <f>SUM(R56:R68)</f>
        <v>-8319634.1200000001</v>
      </c>
      <c r="S69" s="1032">
        <f>SUM(S56:S68)</f>
        <v>0</v>
      </c>
    </row>
    <row r="70" spans="1:19" ht="13.5" thickTop="1">
      <c r="A70" s="1038"/>
      <c r="B70" s="1022"/>
      <c r="C70" s="1033"/>
      <c r="D70" s="1033"/>
      <c r="E70" s="1033"/>
      <c r="F70" s="1033"/>
      <c r="G70" s="1033"/>
      <c r="H70" s="1030"/>
      <c r="I70" s="1033"/>
      <c r="J70" s="1033"/>
      <c r="K70" s="1033"/>
      <c r="L70" s="1030"/>
      <c r="M70" s="1033"/>
      <c r="N70" s="1033"/>
      <c r="O70" s="1033"/>
      <c r="P70" s="1030"/>
      <c r="Q70" s="1033"/>
      <c r="R70" s="1033"/>
      <c r="S70" s="1033"/>
    </row>
    <row r="71" spans="1:19">
      <c r="A71" s="1038"/>
      <c r="B71" s="1022"/>
      <c r="C71" s="1030"/>
      <c r="D71" s="1030"/>
      <c r="E71" s="1030"/>
      <c r="F71" s="1030"/>
      <c r="G71" s="1030"/>
      <c r="H71" s="1030"/>
      <c r="I71" s="1030"/>
      <c r="J71" s="1030"/>
      <c r="K71" s="1030"/>
      <c r="L71" s="1030"/>
      <c r="M71" s="1030"/>
      <c r="N71" s="1030"/>
      <c r="O71" s="1030"/>
      <c r="P71" s="1030"/>
      <c r="Q71" s="1030"/>
      <c r="R71" s="1030"/>
      <c r="S71" s="1030"/>
    </row>
    <row r="72" spans="1:19">
      <c r="A72" s="1038">
        <f>+A69+1</f>
        <v>11</v>
      </c>
      <c r="B72" s="1016" t="s">
        <v>679</v>
      </c>
      <c r="C72" s="1030">
        <f>SUM(M72:O72)</f>
        <v>41110098.289999999</v>
      </c>
      <c r="D72" s="1030">
        <f>SUM(Q72:S72)</f>
        <v>42752056.289999999</v>
      </c>
      <c r="E72" s="1030"/>
      <c r="F72" s="1030"/>
      <c r="G72" s="1030">
        <f>ROUND(SUM(C72:F72)/2,0)</f>
        <v>41931077</v>
      </c>
      <c r="H72" s="1030"/>
      <c r="I72" s="1030">
        <f>(M72+Q72)/2</f>
        <v>0</v>
      </c>
      <c r="J72" s="1030">
        <f>(N72+R72)/2</f>
        <v>41931077.289999999</v>
      </c>
      <c r="K72" s="1030">
        <f>(O72+S72)/2</f>
        <v>0</v>
      </c>
      <c r="L72" s="1030"/>
      <c r="M72" s="1018"/>
      <c r="N72" s="1018">
        <v>41110098.289999999</v>
      </c>
      <c r="O72" s="1018"/>
      <c r="P72" s="1030"/>
      <c r="Q72" s="1018"/>
      <c r="R72" s="1018">
        <v>42752056.289999999</v>
      </c>
      <c r="S72" s="1018"/>
    </row>
    <row r="73" spans="1:19">
      <c r="A73" s="1060">
        <f>A72+0.01</f>
        <v>11.01</v>
      </c>
      <c r="B73" s="1018"/>
      <c r="C73" s="1018"/>
      <c r="D73" s="1018"/>
      <c r="E73" s="1030">
        <f>-C73</f>
        <v>0</v>
      </c>
      <c r="F73" s="1030">
        <f>-D73</f>
        <v>0</v>
      </c>
      <c r="G73" s="1030">
        <f>ROUND(SUM(C73:F73)/2,0)</f>
        <v>0</v>
      </c>
      <c r="H73" s="1030"/>
      <c r="I73" s="1030"/>
      <c r="J73" s="1030"/>
      <c r="K73" s="1030"/>
      <c r="L73" s="1030"/>
      <c r="M73" s="1030"/>
      <c r="N73" s="1030"/>
      <c r="O73" s="1030"/>
      <c r="P73" s="1030"/>
      <c r="Q73" s="1030"/>
      <c r="R73" s="1030"/>
      <c r="S73" s="1030"/>
    </row>
    <row r="74" spans="1:19">
      <c r="A74" s="1038"/>
      <c r="B74" s="1022"/>
      <c r="C74" s="1030"/>
      <c r="D74" s="1030"/>
      <c r="E74" s="1030"/>
      <c r="F74" s="1030"/>
      <c r="G74" s="1030"/>
      <c r="H74" s="1030"/>
      <c r="I74" s="1030"/>
      <c r="J74" s="1030"/>
      <c r="K74" s="1030"/>
      <c r="L74" s="1030"/>
      <c r="M74" s="1030"/>
      <c r="N74" s="1030"/>
      <c r="O74" s="1030"/>
      <c r="P74" s="1030"/>
      <c r="Q74" s="1030"/>
      <c r="R74" s="1030"/>
      <c r="S74" s="1030"/>
    </row>
    <row r="75" spans="1:19" ht="13.5" thickBot="1">
      <c r="A75" s="1038">
        <f>+A72+1</f>
        <v>12</v>
      </c>
      <c r="B75" s="1019" t="s">
        <v>680</v>
      </c>
      <c r="C75" s="1032">
        <f>SUM(C69:C74)</f>
        <v>46986444.359999999</v>
      </c>
      <c r="D75" s="1032">
        <f>SUM(D69:D74)</f>
        <v>49433470.75</v>
      </c>
      <c r="E75" s="1032">
        <f>SUM(E69:E74)</f>
        <v>-12803150.190000001</v>
      </c>
      <c r="F75" s="1032">
        <f>SUM(F69:F74)</f>
        <v>-15001048.58</v>
      </c>
      <c r="G75" s="1032">
        <f>SUM(G69:G74)</f>
        <v>34307858</v>
      </c>
      <c r="H75" s="1030"/>
      <c r="I75" s="1032">
        <f>SUM(I69:I74)</f>
        <v>0</v>
      </c>
      <c r="J75" s="1032">
        <f>SUM(J69:J74)</f>
        <v>34307858.170000002</v>
      </c>
      <c r="K75" s="1032">
        <f>SUM(K69:K74)</f>
        <v>0</v>
      </c>
      <c r="L75" s="1030"/>
      <c r="M75" s="1035">
        <f>SUM(M69:M74)</f>
        <v>0</v>
      </c>
      <c r="N75" s="1035">
        <f>SUM(N69:N74)</f>
        <v>34183294.170000002</v>
      </c>
      <c r="O75" s="1035">
        <f>SUM(O69:O74)</f>
        <v>0</v>
      </c>
      <c r="P75" s="1030"/>
      <c r="Q75" s="1032">
        <f>SUM(Q69:Q74)</f>
        <v>0</v>
      </c>
      <c r="R75" s="1032">
        <f>SUM(R69:R74)</f>
        <v>34432422.170000002</v>
      </c>
      <c r="S75" s="1032">
        <f>SUM(S69:S74)</f>
        <v>0</v>
      </c>
    </row>
    <row r="76" spans="1:19" ht="13.5" thickTop="1">
      <c r="A76" s="1038">
        <f>A75+1</f>
        <v>13</v>
      </c>
      <c r="B76" s="1022" t="s">
        <v>681</v>
      </c>
      <c r="C76" s="1033">
        <v>0</v>
      </c>
      <c r="D76" s="1033">
        <v>0</v>
      </c>
      <c r="E76" s="1033">
        <v>0</v>
      </c>
      <c r="F76" s="1033">
        <v>0</v>
      </c>
      <c r="G76" s="1033">
        <v>0</v>
      </c>
      <c r="H76" s="1030"/>
      <c r="I76" s="1033">
        <v>0</v>
      </c>
      <c r="J76" s="1033">
        <v>0</v>
      </c>
      <c r="K76" s="1033">
        <v>0</v>
      </c>
      <c r="L76" s="1030"/>
      <c r="M76" s="1033">
        <v>0</v>
      </c>
      <c r="N76" s="1033">
        <v>0</v>
      </c>
      <c r="O76" s="1033">
        <v>0</v>
      </c>
      <c r="P76" s="1030"/>
      <c r="Q76" s="1033">
        <v>0</v>
      </c>
      <c r="R76" s="1033">
        <v>0</v>
      </c>
      <c r="S76" s="1033">
        <v>0</v>
      </c>
    </row>
    <row r="77" spans="1:19">
      <c r="A77" s="1038"/>
      <c r="B77" s="1022"/>
      <c r="C77" s="1034"/>
      <c r="D77" s="1034"/>
      <c r="E77" s="1030"/>
      <c r="F77" s="1030"/>
      <c r="G77" s="1030"/>
      <c r="H77" s="1030"/>
      <c r="I77" s="1030"/>
      <c r="J77" s="1030"/>
      <c r="K77" s="1030"/>
      <c r="L77" s="1030"/>
      <c r="M77" s="1030"/>
      <c r="N77" s="1030"/>
      <c r="O77" s="1030"/>
      <c r="P77" s="1030"/>
      <c r="Q77" s="1030"/>
      <c r="R77" s="1030"/>
      <c r="S77" s="1030"/>
    </row>
    <row r="78" spans="1:19">
      <c r="A78" s="1038">
        <f>+A76+1</f>
        <v>14</v>
      </c>
      <c r="B78" s="1019" t="s">
        <v>682</v>
      </c>
      <c r="C78" s="1030"/>
      <c r="D78" s="1030"/>
      <c r="E78" s="1030"/>
      <c r="F78" s="1030"/>
      <c r="G78" s="1030"/>
      <c r="H78" s="1030"/>
      <c r="I78" s="1030"/>
      <c r="J78" s="1030"/>
      <c r="K78" s="1030"/>
      <c r="L78" s="1030"/>
      <c r="M78" s="1030"/>
      <c r="N78" s="1030"/>
      <c r="O78" s="1030"/>
      <c r="P78" s="1030"/>
      <c r="Q78" s="1030"/>
      <c r="R78" s="1030"/>
      <c r="S78" s="1030"/>
    </row>
    <row r="79" spans="1:19">
      <c r="A79" s="1038"/>
      <c r="B79" s="1022"/>
      <c r="C79" s="1030"/>
      <c r="D79" s="1030"/>
      <c r="E79" s="1030"/>
      <c r="F79" s="1030"/>
      <c r="G79" s="1030"/>
      <c r="H79" s="1030"/>
      <c r="I79" s="1030"/>
      <c r="J79" s="1030"/>
      <c r="K79" s="1030"/>
      <c r="L79" s="1030"/>
      <c r="M79" s="1030"/>
      <c r="N79" s="1030"/>
      <c r="O79" s="1030"/>
      <c r="P79" s="1030"/>
      <c r="Q79" s="1030"/>
      <c r="R79" s="1030"/>
      <c r="S79" s="1030"/>
    </row>
    <row r="80" spans="1:19">
      <c r="A80" s="1038">
        <f>+A78+1</f>
        <v>15</v>
      </c>
      <c r="B80" s="1019" t="s">
        <v>683</v>
      </c>
      <c r="C80" s="1030"/>
      <c r="D80" s="1030"/>
      <c r="E80" s="1030"/>
      <c r="F80" s="1030"/>
      <c r="G80" s="1030"/>
      <c r="H80" s="1030"/>
      <c r="I80" s="1030"/>
      <c r="J80" s="1030"/>
      <c r="K80" s="1030"/>
      <c r="L80" s="1030"/>
      <c r="M80" s="1030"/>
      <c r="N80" s="1030"/>
      <c r="O80" s="1030"/>
      <c r="P80" s="1030"/>
      <c r="Q80" s="1030"/>
      <c r="R80" s="1030"/>
      <c r="S80" s="1030"/>
    </row>
    <row r="81" spans="1:19">
      <c r="A81" s="1038"/>
      <c r="B81" s="1022"/>
      <c r="C81" s="1030"/>
      <c r="D81" s="1036"/>
      <c r="E81" s="1036"/>
      <c r="F81" s="1036"/>
      <c r="G81" s="1036"/>
      <c r="H81" s="1036"/>
      <c r="I81" s="1036"/>
      <c r="J81" s="1036"/>
      <c r="K81" s="1036"/>
      <c r="L81" s="1036"/>
      <c r="M81" s="1030"/>
      <c r="N81" s="1030"/>
      <c r="O81" s="1030"/>
      <c r="P81" s="1030"/>
      <c r="Q81" s="1030"/>
      <c r="R81" s="1030"/>
      <c r="S81" s="1030"/>
    </row>
    <row r="82" spans="1:19">
      <c r="A82" s="1038">
        <f>+A80+1</f>
        <v>16</v>
      </c>
      <c r="B82" s="1019" t="s">
        <v>684</v>
      </c>
      <c r="C82" s="1030"/>
      <c r="D82" s="1036"/>
      <c r="E82" s="1036"/>
      <c r="F82" s="1036"/>
      <c r="G82" s="1036"/>
      <c r="H82" s="1036"/>
      <c r="I82" s="1036"/>
      <c r="J82" s="1036"/>
      <c r="K82" s="1036"/>
      <c r="L82" s="1036"/>
      <c r="M82" s="1030"/>
      <c r="N82" s="1030"/>
      <c r="O82" s="1030"/>
      <c r="P82" s="1030"/>
      <c r="Q82" s="1030"/>
      <c r="R82" s="1030"/>
      <c r="S82" s="1030"/>
    </row>
    <row r="83" spans="1:19">
      <c r="A83" s="1038"/>
      <c r="B83" s="1022"/>
      <c r="C83" s="1030"/>
      <c r="D83" s="1030"/>
      <c r="E83" s="1030"/>
      <c r="F83" s="1030"/>
      <c r="G83" s="1030"/>
      <c r="H83" s="1030"/>
      <c r="I83" s="1030"/>
      <c r="J83" s="1030"/>
      <c r="K83" s="1030"/>
      <c r="L83" s="1030"/>
      <c r="M83" s="1030"/>
      <c r="N83" s="1030"/>
      <c r="O83" s="1030"/>
      <c r="P83" s="1030"/>
      <c r="Q83" s="1030"/>
      <c r="R83" s="1030"/>
      <c r="S83" s="1030"/>
    </row>
    <row r="84" spans="1:19">
      <c r="A84" s="1038">
        <f>+A82+1</f>
        <v>17</v>
      </c>
      <c r="B84" s="1016" t="s">
        <v>685</v>
      </c>
      <c r="C84" s="1030"/>
      <c r="D84" s="1030"/>
      <c r="E84" s="1030"/>
      <c r="F84" s="1030"/>
      <c r="G84" s="1030"/>
      <c r="H84" s="1030"/>
      <c r="I84" s="1030"/>
      <c r="J84" s="1030"/>
      <c r="K84" s="1030"/>
      <c r="L84" s="1030"/>
      <c r="M84" s="1030"/>
      <c r="N84" s="1030"/>
      <c r="O84" s="1030"/>
      <c r="P84" s="1030"/>
      <c r="Q84" s="1030"/>
      <c r="R84" s="1030"/>
      <c r="S84" s="1030"/>
    </row>
    <row r="85" spans="1:19">
      <c r="A85" s="1038">
        <f>A84+1</f>
        <v>18</v>
      </c>
      <c r="B85" s="1016" t="s">
        <v>686</v>
      </c>
      <c r="C85" s="1030"/>
      <c r="D85" s="1030"/>
      <c r="E85" s="1030"/>
      <c r="F85" s="1030"/>
      <c r="G85" s="1030"/>
      <c r="H85" s="1030"/>
      <c r="I85" s="1030"/>
      <c r="J85" s="1030"/>
      <c r="K85" s="1030"/>
      <c r="L85" s="1030"/>
      <c r="M85" s="1030"/>
      <c r="N85" s="1030"/>
      <c r="O85" s="1030"/>
      <c r="P85" s="1030"/>
      <c r="Q85" s="1018"/>
      <c r="R85" s="1030"/>
      <c r="S85" s="1030"/>
    </row>
    <row r="86" spans="1:19">
      <c r="A86" s="1060">
        <f>A85+0.01</f>
        <v>18.010000000000002</v>
      </c>
      <c r="B86" s="1018"/>
      <c r="C86" s="1030">
        <f>SUM(M86:O86)</f>
        <v>0</v>
      </c>
      <c r="D86" s="1030">
        <f>SUM(Q86:S86)</f>
        <v>0</v>
      </c>
      <c r="E86" s="1030"/>
      <c r="F86" s="1030"/>
      <c r="G86" s="1030">
        <f>ROUND(SUM(C86:F86)/2,0)</f>
        <v>0</v>
      </c>
      <c r="H86" s="1030"/>
      <c r="I86" s="1030">
        <f t="shared" ref="I86:K87" si="25">(M86+Q86)/2</f>
        <v>0</v>
      </c>
      <c r="J86" s="1030">
        <f t="shared" si="25"/>
        <v>0</v>
      </c>
      <c r="K86" s="1030">
        <f t="shared" si="25"/>
        <v>0</v>
      </c>
      <c r="L86" s="1030"/>
      <c r="M86" s="1018"/>
      <c r="N86" s="1018"/>
      <c r="O86" s="1018"/>
      <c r="P86" s="1030"/>
      <c r="Q86" s="1018"/>
      <c r="R86" s="1018"/>
      <c r="S86" s="1018"/>
    </row>
    <row r="87" spans="1:19">
      <c r="A87" s="1060">
        <f>A86+0.01</f>
        <v>18.020000000000003</v>
      </c>
      <c r="B87" s="1018"/>
      <c r="C87" s="1030">
        <f>SUM(M87:O87)</f>
        <v>0</v>
      </c>
      <c r="D87" s="1030">
        <f>SUM(Q87:S87)</f>
        <v>0</v>
      </c>
      <c r="E87" s="1030"/>
      <c r="F87" s="1030"/>
      <c r="G87" s="1030">
        <f>ROUND(SUM(C87:F87)/2,0)</f>
        <v>0</v>
      </c>
      <c r="H87" s="1030"/>
      <c r="I87" s="1030">
        <f t="shared" si="25"/>
        <v>0</v>
      </c>
      <c r="J87" s="1030">
        <f t="shared" si="25"/>
        <v>0</v>
      </c>
      <c r="K87" s="1030">
        <f t="shared" si="25"/>
        <v>0</v>
      </c>
      <c r="L87" s="1030"/>
      <c r="M87" s="1018"/>
      <c r="N87" s="1018"/>
      <c r="O87" s="1018"/>
      <c r="P87" s="1030"/>
      <c r="Q87" s="1018"/>
      <c r="R87" s="1018"/>
      <c r="S87" s="1018"/>
    </row>
    <row r="88" spans="1:19">
      <c r="A88" s="1038">
        <f>INT(A87)+1</f>
        <v>19</v>
      </c>
      <c r="B88" s="1019"/>
      <c r="C88" s="1030"/>
      <c r="D88" s="1030"/>
      <c r="E88" s="1030"/>
      <c r="F88" s="1030"/>
      <c r="G88" s="1030"/>
      <c r="H88" s="1030"/>
      <c r="I88" s="1030"/>
      <c r="J88" s="1030"/>
      <c r="K88" s="1030"/>
      <c r="L88" s="1030"/>
      <c r="M88" s="1030"/>
      <c r="N88" s="1030"/>
      <c r="O88" s="1030"/>
      <c r="P88" s="1030"/>
      <c r="Q88" s="1030"/>
      <c r="R88" s="1030"/>
      <c r="S88" s="1030"/>
    </row>
    <row r="89" spans="1:19">
      <c r="A89" s="1038">
        <f>A88+1</f>
        <v>20</v>
      </c>
      <c r="B89" s="1016" t="s">
        <v>687</v>
      </c>
      <c r="C89" s="1032">
        <f>SUM(C86:C88)</f>
        <v>0</v>
      </c>
      <c r="D89" s="1032">
        <f>SUM(D86:D88)</f>
        <v>0</v>
      </c>
      <c r="E89" s="1032">
        <f>SUM(E86:E88)</f>
        <v>0</v>
      </c>
      <c r="F89" s="1032">
        <f>SUM(F86:F88)</f>
        <v>0</v>
      </c>
      <c r="G89" s="1032">
        <f>SUM(G86:G88)</f>
        <v>0</v>
      </c>
      <c r="H89" s="1030"/>
      <c r="I89" s="1032">
        <f>SUM(I86:I88)</f>
        <v>0</v>
      </c>
      <c r="J89" s="1032">
        <f>SUM(J86:J88)</f>
        <v>0</v>
      </c>
      <c r="K89" s="1032">
        <f>SUM(K86:K88)</f>
        <v>0</v>
      </c>
      <c r="L89" s="1030"/>
      <c r="M89" s="1032">
        <f>SUM(M86:M88)</f>
        <v>0</v>
      </c>
      <c r="N89" s="1032">
        <f>SUM(N86:N88)</f>
        <v>0</v>
      </c>
      <c r="O89" s="1032">
        <f>SUM(O86:O88)</f>
        <v>0</v>
      </c>
      <c r="P89" s="1030"/>
      <c r="Q89" s="1032">
        <f>SUM(Q86:Q88)</f>
        <v>0</v>
      </c>
      <c r="R89" s="1032">
        <f>SUM(R86:R88)</f>
        <v>0</v>
      </c>
      <c r="S89" s="1032">
        <f>SUM(S86:S88)</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7"/>
  <sheetViews>
    <sheetView view="pageBreakPreview" zoomScale="85" zoomScaleNormal="100" zoomScaleSheetLayoutView="85" workbookViewId="0">
      <selection activeCell="R27" sqref="R27"/>
    </sheetView>
  </sheetViews>
  <sheetFormatPr defaultRowHeight="12.75"/>
  <cols>
    <col min="1" max="1" width="6" style="1011" customWidth="1"/>
    <col min="2" max="2" width="54.5703125" style="1011" bestFit="1" customWidth="1"/>
    <col min="3" max="3" width="13.42578125" style="1011" bestFit="1" customWidth="1"/>
    <col min="4" max="4" width="12.85546875" style="1011" bestFit="1" customWidth="1"/>
    <col min="5" max="6" width="17" style="1011" customWidth="1"/>
    <col min="7" max="7" width="15.28515625" style="1011" bestFit="1" customWidth="1"/>
    <col min="8" max="8" width="9.140625" style="1011"/>
    <col min="9" max="9" width="13.140625" style="1011" bestFit="1" customWidth="1"/>
    <col min="10" max="10" width="15" style="1011" bestFit="1" customWidth="1"/>
    <col min="11" max="11" width="13.5703125" style="1011" bestFit="1" customWidth="1"/>
    <col min="12" max="12" width="9.140625" style="1011"/>
    <col min="13" max="13" width="13.140625" style="1011" bestFit="1" customWidth="1"/>
    <col min="14" max="14" width="15" style="1011" bestFit="1" customWidth="1"/>
    <col min="15" max="15" width="13.5703125" style="1011" bestFit="1" customWidth="1"/>
    <col min="16" max="16" width="9.140625" style="1011"/>
    <col min="17" max="17" width="13.140625" style="1011" bestFit="1" customWidth="1"/>
    <col min="18" max="18" width="15" style="1011" bestFit="1" customWidth="1"/>
    <col min="19" max="19" width="13.5703125" style="1011" bestFit="1" customWidth="1"/>
    <col min="20" max="16384" width="9.140625" style="1011"/>
  </cols>
  <sheetData>
    <row r="1" spans="1:19">
      <c r="A1" s="1039"/>
      <c r="B1" s="1059" t="str">
        <f>TCOS!F9</f>
        <v>AEP Indiana Michigan Transmission Company</v>
      </c>
      <c r="C1" s="1040"/>
      <c r="D1" s="1040"/>
      <c r="E1" s="1040"/>
      <c r="F1" s="1022"/>
      <c r="G1" s="1016"/>
      <c r="H1" s="1016"/>
      <c r="I1" s="1016"/>
      <c r="J1" s="1016"/>
      <c r="K1" s="1016"/>
      <c r="L1" s="1016"/>
      <c r="M1" s="1022"/>
      <c r="N1" s="1022"/>
      <c r="O1" s="1016"/>
      <c r="P1" s="1022"/>
      <c r="Q1" s="1022"/>
      <c r="R1" s="1022"/>
      <c r="S1" s="1016"/>
    </row>
    <row r="2" spans="1:19">
      <c r="A2" s="1039"/>
      <c r="B2" s="1021" t="s">
        <v>688</v>
      </c>
      <c r="C2" s="1040"/>
      <c r="D2" s="1040"/>
      <c r="E2" s="1040"/>
      <c r="F2" s="1040"/>
      <c r="G2" s="1015"/>
      <c r="H2" s="1015"/>
      <c r="I2" s="1015"/>
      <c r="J2" s="1015"/>
      <c r="K2" s="1015"/>
      <c r="L2" s="1015"/>
      <c r="M2" s="1022"/>
      <c r="N2" s="1022"/>
      <c r="O2" s="1015"/>
      <c r="P2" s="1022"/>
      <c r="Q2" s="1022"/>
      <c r="R2" s="1022"/>
      <c r="S2" s="1015"/>
    </row>
    <row r="3" spans="1:19">
      <c r="A3" s="1039"/>
      <c r="B3" s="1021" t="str">
        <f>"PERIOD ENDED DECEMBER 31, "&amp;TCOS!L4</f>
        <v>PERIOD ENDED DECEMBER 31, 2021</v>
      </c>
      <c r="C3" s="1040"/>
      <c r="D3" s="1040"/>
      <c r="E3" s="1040"/>
      <c r="F3" s="1040"/>
      <c r="G3" s="1040"/>
      <c r="H3" s="1040"/>
      <c r="I3" s="1040"/>
      <c r="J3" s="1040"/>
      <c r="K3" s="1040"/>
      <c r="L3" s="1040"/>
      <c r="M3" s="1022"/>
      <c r="N3" s="1022"/>
      <c r="O3" s="1022"/>
      <c r="P3" s="1022"/>
      <c r="Q3" s="1022"/>
      <c r="R3" s="1022"/>
      <c r="S3" s="1022"/>
    </row>
    <row r="4" spans="1:19">
      <c r="A4" s="1039"/>
      <c r="B4" s="1029"/>
      <c r="C4" s="1040"/>
      <c r="D4" s="1040"/>
      <c r="E4" s="1040"/>
      <c r="F4" s="1040"/>
      <c r="G4" s="1012" t="s">
        <v>689</v>
      </c>
      <c r="H4" s="1040"/>
      <c r="I4" s="1040"/>
      <c r="J4" s="1040"/>
      <c r="K4" s="1040"/>
      <c r="L4" s="1040"/>
      <c r="M4" s="1022"/>
      <c r="N4" s="1022"/>
      <c r="O4" s="1022"/>
      <c r="P4" s="1022"/>
      <c r="Q4" s="1022"/>
      <c r="R4" s="1022"/>
      <c r="S4" s="1022"/>
    </row>
    <row r="5" spans="1:19">
      <c r="A5" s="1039"/>
      <c r="B5" s="1023"/>
      <c r="C5" s="1040"/>
      <c r="D5" s="1040"/>
      <c r="E5" s="1040"/>
      <c r="F5" s="1040"/>
      <c r="G5" s="1040"/>
      <c r="H5" s="1040"/>
      <c r="I5" s="1040"/>
      <c r="J5" s="1040"/>
      <c r="K5" s="1040"/>
      <c r="L5" s="1040"/>
      <c r="M5" s="1022"/>
      <c r="N5" s="1022"/>
      <c r="O5" s="1022"/>
      <c r="P5" s="1022"/>
      <c r="Q5" s="1022"/>
      <c r="R5" s="1022"/>
      <c r="S5" s="1022"/>
    </row>
    <row r="6" spans="1:19">
      <c r="A6" s="1039"/>
      <c r="B6" s="1022"/>
      <c r="C6" s="1040"/>
      <c r="D6" s="1040"/>
      <c r="E6" s="1040"/>
      <c r="F6" s="1040"/>
      <c r="G6" s="1040"/>
      <c r="H6" s="1012"/>
      <c r="I6" s="1012"/>
      <c r="J6" s="1012"/>
      <c r="K6" s="1012"/>
      <c r="L6" s="1012"/>
      <c r="M6" s="1022"/>
      <c r="N6" s="1022"/>
      <c r="O6" s="1022"/>
      <c r="P6" s="1022"/>
      <c r="Q6" s="1022"/>
      <c r="R6" s="1022"/>
      <c r="S6" s="1022"/>
    </row>
    <row r="7" spans="1:19">
      <c r="A7" s="1039"/>
      <c r="B7" s="1022"/>
      <c r="C7" s="1040"/>
      <c r="D7" s="1040"/>
      <c r="E7" s="1040"/>
      <c r="F7" s="1040"/>
      <c r="G7" s="1040"/>
      <c r="H7" s="1040"/>
      <c r="I7" s="1040"/>
      <c r="J7" s="1040"/>
      <c r="K7" s="1040"/>
      <c r="L7" s="1040"/>
      <c r="M7" s="1022"/>
      <c r="N7" s="1022"/>
      <c r="O7" s="1022"/>
      <c r="P7" s="1022"/>
      <c r="Q7" s="1022"/>
      <c r="R7" s="1022"/>
      <c r="S7" s="1022"/>
    </row>
    <row r="8" spans="1:19">
      <c r="A8" s="1039"/>
      <c r="B8" s="1024" t="s">
        <v>645</v>
      </c>
      <c r="C8" s="1041" t="s">
        <v>646</v>
      </c>
      <c r="D8" s="1041" t="s">
        <v>647</v>
      </c>
      <c r="E8" s="1041" t="s">
        <v>648</v>
      </c>
      <c r="F8" s="1041" t="s">
        <v>649</v>
      </c>
      <c r="G8" s="1041" t="s">
        <v>650</v>
      </c>
      <c r="H8" s="1041"/>
      <c r="I8" s="1041" t="s">
        <v>651</v>
      </c>
      <c r="J8" s="1041" t="s">
        <v>652</v>
      </c>
      <c r="K8" s="1041" t="s">
        <v>653</v>
      </c>
      <c r="L8" s="1041"/>
      <c r="M8" s="1024" t="s">
        <v>654</v>
      </c>
      <c r="N8" s="1024" t="s">
        <v>655</v>
      </c>
      <c r="O8" s="1024" t="s">
        <v>656</v>
      </c>
      <c r="P8" s="1022"/>
      <c r="Q8" s="1024" t="s">
        <v>657</v>
      </c>
      <c r="R8" s="1024" t="s">
        <v>658</v>
      </c>
      <c r="S8" s="1024" t="s">
        <v>659</v>
      </c>
    </row>
    <row r="9" spans="1:19">
      <c r="A9" s="1039"/>
      <c r="B9" s="1022"/>
      <c r="C9" s="1040"/>
      <c r="D9" s="1040"/>
      <c r="E9" s="1040"/>
      <c r="F9" s="1040"/>
      <c r="G9" s="1040"/>
      <c r="H9" s="1040"/>
      <c r="I9" s="1040"/>
      <c r="J9" s="1040"/>
      <c r="K9" s="1040"/>
      <c r="L9" s="1040"/>
      <c r="M9" s="1022"/>
      <c r="N9" s="1022"/>
      <c r="O9" s="1022"/>
      <c r="P9" s="1022"/>
      <c r="Q9" s="1022"/>
      <c r="R9" s="1022"/>
      <c r="S9" s="1022"/>
    </row>
    <row r="10" spans="1:19">
      <c r="A10" s="1039"/>
      <c r="B10" s="1022"/>
      <c r="C10" s="1042" t="s">
        <v>660</v>
      </c>
      <c r="D10" s="1042"/>
      <c r="E10" s="1043" t="s">
        <v>661</v>
      </c>
      <c r="F10" s="1042"/>
      <c r="G10" s="1014" t="s">
        <v>662</v>
      </c>
      <c r="H10" s="1014"/>
      <c r="I10" s="1044" t="s">
        <v>663</v>
      </c>
      <c r="J10" s="1042"/>
      <c r="K10" s="1042"/>
      <c r="L10" s="1014"/>
      <c r="M10" s="1025" t="str">
        <f>"FUNCTIONALIZATION 12/31/"&amp;TCOS!L4-1</f>
        <v>FUNCTIONALIZATION 12/31/2020</v>
      </c>
      <c r="N10" s="1025"/>
      <c r="O10" s="1025"/>
      <c r="P10" s="1022"/>
      <c r="Q10" s="1025" t="str">
        <f>"FUNCTIONALIZATION 12/31/"&amp;TCOS!L4</f>
        <v>FUNCTIONALIZATION 12/31/2021</v>
      </c>
      <c r="R10" s="1025"/>
      <c r="S10" s="1025"/>
    </row>
    <row r="11" spans="1:19">
      <c r="A11" s="1039"/>
      <c r="B11" s="1022"/>
      <c r="C11" s="1045"/>
      <c r="D11" s="1045"/>
      <c r="E11" s="1040"/>
      <c r="F11" s="1040"/>
      <c r="G11" s="1014" t="s">
        <v>664</v>
      </c>
      <c r="H11" s="1014"/>
      <c r="I11" s="1045"/>
      <c r="J11" s="1045"/>
      <c r="K11" s="1045"/>
      <c r="L11" s="1014"/>
      <c r="M11" s="1028"/>
      <c r="N11" s="1028"/>
      <c r="O11" s="1028"/>
      <c r="P11" s="1022"/>
      <c r="Q11" s="1028"/>
      <c r="R11" s="1028"/>
      <c r="S11" s="1028"/>
    </row>
    <row r="12" spans="1:19">
      <c r="A12" s="1039"/>
      <c r="B12" s="1022"/>
      <c r="C12" s="1014" t="s">
        <v>665</v>
      </c>
      <c r="D12" s="1014" t="s">
        <v>665</v>
      </c>
      <c r="E12" s="1014" t="s">
        <v>665</v>
      </c>
      <c r="F12" s="1014" t="s">
        <v>665</v>
      </c>
      <c r="G12" s="1014" t="s">
        <v>666</v>
      </c>
      <c r="H12" s="1014"/>
      <c r="I12" s="1040"/>
      <c r="J12" s="1040"/>
      <c r="K12" s="1040"/>
      <c r="L12" s="1014"/>
      <c r="M12" s="1022"/>
      <c r="N12" s="1022"/>
      <c r="O12" s="1022"/>
      <c r="P12" s="1022"/>
      <c r="Q12" s="1022"/>
      <c r="R12" s="1022"/>
      <c r="S12" s="1022"/>
    </row>
    <row r="13" spans="1:19">
      <c r="A13" s="1039"/>
      <c r="B13" s="1024" t="s">
        <v>667</v>
      </c>
      <c r="C13" s="1041" t="str">
        <f>"OF 12-31-"&amp;TCOS!L4-1</f>
        <v>OF 12-31-2020</v>
      </c>
      <c r="D13" s="1041" t="str">
        <f>"OF 12-31-"&amp;TCOS!L4</f>
        <v>OF 12-31-2021</v>
      </c>
      <c r="E13" s="1041" t="str">
        <f>"OF 12-31-"&amp;TCOS!L4-1</f>
        <v>OF 12-31-2020</v>
      </c>
      <c r="F13" s="1041" t="str">
        <f>"OF 12-31-"&amp;TCOS!L4</f>
        <v>OF 12-31-2021</v>
      </c>
      <c r="G13" s="1041" t="s">
        <v>668</v>
      </c>
      <c r="H13" s="1041"/>
      <c r="I13" s="1041" t="s">
        <v>669</v>
      </c>
      <c r="J13" s="1041" t="s">
        <v>670</v>
      </c>
      <c r="K13" s="1041" t="s">
        <v>671</v>
      </c>
      <c r="L13" s="1041"/>
      <c r="M13" s="1024" t="s">
        <v>669</v>
      </c>
      <c r="N13" s="1024" t="s">
        <v>670</v>
      </c>
      <c r="O13" s="1024" t="s">
        <v>671</v>
      </c>
      <c r="P13" s="1022"/>
      <c r="Q13" s="1024" t="s">
        <v>669</v>
      </c>
      <c r="R13" s="1024" t="s">
        <v>670</v>
      </c>
      <c r="S13" s="1024" t="s">
        <v>671</v>
      </c>
    </row>
    <row r="14" spans="1:19">
      <c r="A14" s="1039"/>
      <c r="B14" s="1022"/>
      <c r="C14" s="1040"/>
      <c r="D14" s="1040"/>
      <c r="E14" s="1040"/>
      <c r="F14" s="1040"/>
      <c r="G14" s="1040"/>
      <c r="H14" s="1040"/>
      <c r="I14" s="1040"/>
      <c r="J14" s="1040"/>
      <c r="K14" s="1040"/>
      <c r="L14" s="1040"/>
      <c r="M14" s="1022"/>
      <c r="N14" s="1022"/>
      <c r="O14" s="1022"/>
      <c r="P14" s="1022"/>
      <c r="Q14" s="1022"/>
      <c r="R14" s="1022"/>
      <c r="S14" s="1022"/>
    </row>
    <row r="15" spans="1:19">
      <c r="A15" s="1046">
        <v>1</v>
      </c>
      <c r="B15" s="1034" t="s">
        <v>690</v>
      </c>
      <c r="C15" s="1030"/>
      <c r="D15" s="1030"/>
      <c r="E15" s="1030"/>
      <c r="F15" s="1031"/>
      <c r="G15" s="1030"/>
      <c r="H15" s="1030"/>
      <c r="I15" s="1030"/>
      <c r="J15" s="1030"/>
      <c r="K15" s="1030"/>
      <c r="L15" s="1030"/>
      <c r="M15" s="1030"/>
      <c r="N15" s="1030"/>
      <c r="O15" s="1030"/>
      <c r="P15" s="1030"/>
      <c r="Q15" s="1030"/>
      <c r="R15" s="1030"/>
      <c r="S15" s="1030"/>
    </row>
    <row r="16" spans="1:19">
      <c r="A16" s="1046"/>
      <c r="B16" s="1030"/>
      <c r="C16" s="1030"/>
      <c r="D16" s="1030"/>
      <c r="E16" s="1030"/>
      <c r="F16" s="1030"/>
      <c r="G16" s="1030"/>
      <c r="H16" s="1030"/>
      <c r="I16" s="1030"/>
      <c r="J16" s="1030"/>
      <c r="K16" s="1030"/>
      <c r="L16" s="1030"/>
      <c r="M16" s="1030"/>
      <c r="N16" s="1030"/>
      <c r="O16" s="1030"/>
      <c r="P16" s="1030"/>
      <c r="Q16" s="1030"/>
      <c r="R16" s="1030"/>
      <c r="S16" s="1030"/>
    </row>
    <row r="17" spans="1:19">
      <c r="A17" s="1052">
        <v>2.0099999999999998</v>
      </c>
      <c r="B17" s="1018" t="s">
        <v>860</v>
      </c>
      <c r="C17" s="1030">
        <f t="shared" ref="C17:C25" si="0">SUM(M17:O17)</f>
        <v>18004.86</v>
      </c>
      <c r="D17" s="1030">
        <f t="shared" ref="D17:D25" si="1">SUM(Q17:S17)</f>
        <v>18004.86</v>
      </c>
      <c r="E17" s="1030"/>
      <c r="F17" s="1030"/>
      <c r="G17" s="1030">
        <f t="shared" ref="G17:G25" si="2">ROUND(SUM(C17:F17)/2,0)</f>
        <v>18005</v>
      </c>
      <c r="H17" s="1030"/>
      <c r="I17" s="1030">
        <f t="shared" ref="I17:K26" si="3">(M17+Q17)/2</f>
        <v>0</v>
      </c>
      <c r="J17" s="1030">
        <f t="shared" si="3"/>
        <v>18004.86</v>
      </c>
      <c r="K17" s="1030">
        <f t="shared" si="3"/>
        <v>0</v>
      </c>
      <c r="L17" s="1030"/>
      <c r="M17" s="1018"/>
      <c r="N17" s="1018">
        <v>18004.86</v>
      </c>
      <c r="O17" s="1018"/>
      <c r="P17" s="1030"/>
      <c r="Q17" s="1018"/>
      <c r="R17" s="1018">
        <v>18004.86</v>
      </c>
      <c r="S17" s="1018"/>
    </row>
    <row r="18" spans="1:19">
      <c r="A18" s="1052">
        <f>A17+0.01</f>
        <v>2.0199999999999996</v>
      </c>
      <c r="B18" s="1018" t="s">
        <v>956</v>
      </c>
      <c r="C18" s="1030">
        <f t="shared" si="0"/>
        <v>-26541.919999999998</v>
      </c>
      <c r="D18" s="1030">
        <f t="shared" si="1"/>
        <v>-4998.5200000000004</v>
      </c>
      <c r="E18" s="1030"/>
      <c r="F18" s="1030"/>
      <c r="G18" s="1030">
        <f t="shared" si="2"/>
        <v>-15770</v>
      </c>
      <c r="H18" s="1030"/>
      <c r="I18" s="1030">
        <f t="shared" si="3"/>
        <v>0</v>
      </c>
      <c r="J18" s="1030">
        <f t="shared" si="3"/>
        <v>-15770.22</v>
      </c>
      <c r="K18" s="1030">
        <f t="shared" si="3"/>
        <v>0</v>
      </c>
      <c r="L18" s="1030"/>
      <c r="M18" s="1018"/>
      <c r="N18" s="1018">
        <v>-26541.919999999998</v>
      </c>
      <c r="O18" s="1018"/>
      <c r="P18" s="1030"/>
      <c r="Q18" s="1018"/>
      <c r="R18" s="1018">
        <v>-4998.5200000000004</v>
      </c>
      <c r="S18" s="1018"/>
    </row>
    <row r="19" spans="1:19">
      <c r="A19" s="1052">
        <f t="shared" ref="A19:A33" si="4">A18+0.01</f>
        <v>2.0299999999999994</v>
      </c>
      <c r="B19" s="1018" t="s">
        <v>862</v>
      </c>
      <c r="C19" s="1030">
        <f t="shared" si="0"/>
        <v>1678559.15</v>
      </c>
      <c r="D19" s="1030">
        <f t="shared" si="1"/>
        <v>1715499.41</v>
      </c>
      <c r="E19" s="1030"/>
      <c r="F19" s="1030"/>
      <c r="G19" s="1030">
        <f t="shared" si="2"/>
        <v>1697029</v>
      </c>
      <c r="H19" s="1030"/>
      <c r="I19" s="1030">
        <f t="shared" si="3"/>
        <v>0</v>
      </c>
      <c r="J19" s="1030">
        <f t="shared" si="3"/>
        <v>1697029.2799999998</v>
      </c>
      <c r="K19" s="1030">
        <f t="shared" si="3"/>
        <v>0</v>
      </c>
      <c r="L19" s="1030"/>
      <c r="M19" s="1018"/>
      <c r="N19" s="1018">
        <v>1678559.15</v>
      </c>
      <c r="O19" s="1018"/>
      <c r="P19" s="1030"/>
      <c r="Q19" s="1018"/>
      <c r="R19" s="1018">
        <v>1715499.41</v>
      </c>
      <c r="S19" s="1018"/>
    </row>
    <row r="20" spans="1:19">
      <c r="A20" s="1052">
        <f t="shared" si="4"/>
        <v>2.0399999999999991</v>
      </c>
      <c r="B20" s="1018" t="s">
        <v>863</v>
      </c>
      <c r="C20" s="1030">
        <f t="shared" si="0"/>
        <v>697039.43</v>
      </c>
      <c r="D20" s="1030">
        <f t="shared" si="1"/>
        <v>247660.63</v>
      </c>
      <c r="E20" s="1030"/>
      <c r="F20" s="1030"/>
      <c r="G20" s="1030">
        <f t="shared" si="2"/>
        <v>472350</v>
      </c>
      <c r="H20" s="1030"/>
      <c r="I20" s="1030">
        <f t="shared" si="3"/>
        <v>0</v>
      </c>
      <c r="J20" s="1030">
        <f t="shared" si="3"/>
        <v>472350.03</v>
      </c>
      <c r="K20" s="1030">
        <f t="shared" si="3"/>
        <v>0</v>
      </c>
      <c r="L20" s="1030"/>
      <c r="M20" s="1018"/>
      <c r="N20" s="1018">
        <v>697039.43</v>
      </c>
      <c r="O20" s="1018"/>
      <c r="P20" s="1030"/>
      <c r="Q20" s="1018"/>
      <c r="R20" s="1018">
        <v>247660.63</v>
      </c>
      <c r="S20" s="1018"/>
    </row>
    <row r="21" spans="1:19">
      <c r="A21" s="1052">
        <f t="shared" si="4"/>
        <v>2.0499999999999989</v>
      </c>
      <c r="B21" s="1018" t="s">
        <v>864</v>
      </c>
      <c r="C21" s="1030">
        <f t="shared" si="0"/>
        <v>283198.95</v>
      </c>
      <c r="D21" s="1030">
        <f t="shared" si="1"/>
        <v>407951.76</v>
      </c>
      <c r="E21" s="1030"/>
      <c r="F21" s="1030"/>
      <c r="G21" s="1030">
        <f t="shared" si="2"/>
        <v>345575</v>
      </c>
      <c r="H21" s="1030"/>
      <c r="I21" s="1030">
        <f t="shared" si="3"/>
        <v>0</v>
      </c>
      <c r="J21" s="1030">
        <f t="shared" si="3"/>
        <v>345575.35499999998</v>
      </c>
      <c r="K21" s="1030">
        <f t="shared" si="3"/>
        <v>0</v>
      </c>
      <c r="L21" s="1030"/>
      <c r="M21" s="1018"/>
      <c r="N21" s="1018">
        <v>283198.95</v>
      </c>
      <c r="O21" s="1018"/>
      <c r="P21" s="1030"/>
      <c r="Q21" s="1018"/>
      <c r="R21" s="1018">
        <v>407951.76</v>
      </c>
      <c r="S21" s="1018"/>
    </row>
    <row r="22" spans="1:19">
      <c r="A22" s="1052">
        <f t="shared" si="4"/>
        <v>2.0599999999999987</v>
      </c>
      <c r="B22" s="1018" t="s">
        <v>955</v>
      </c>
      <c r="C22" s="1030">
        <f t="shared" si="0"/>
        <v>-65669.08</v>
      </c>
      <c r="D22" s="1030">
        <f t="shared" si="1"/>
        <v>-73937.95</v>
      </c>
      <c r="E22" s="1030"/>
      <c r="F22" s="1030"/>
      <c r="G22" s="1030">
        <f t="shared" si="2"/>
        <v>-69804</v>
      </c>
      <c r="H22" s="1030"/>
      <c r="I22" s="1030">
        <f t="shared" si="3"/>
        <v>0</v>
      </c>
      <c r="J22" s="1030">
        <f t="shared" si="3"/>
        <v>-69803.514999999999</v>
      </c>
      <c r="K22" s="1030">
        <f t="shared" si="3"/>
        <v>0</v>
      </c>
      <c r="L22" s="1030"/>
      <c r="M22" s="1018"/>
      <c r="N22" s="1018">
        <v>-65669.08</v>
      </c>
      <c r="O22" s="1018"/>
      <c r="P22" s="1030"/>
      <c r="Q22" s="1018"/>
      <c r="R22" s="1018">
        <v>-73937.95</v>
      </c>
      <c r="S22" s="1018"/>
    </row>
    <row r="23" spans="1:19">
      <c r="A23" s="1052">
        <f t="shared" si="4"/>
        <v>2.0699999999999985</v>
      </c>
      <c r="B23" s="1018" t="s">
        <v>895</v>
      </c>
      <c r="C23" s="1030">
        <f>SUM(M23:O23)</f>
        <v>-3.78</v>
      </c>
      <c r="D23" s="1030">
        <f>SUM(Q23:S23)</f>
        <v>-3.78</v>
      </c>
      <c r="E23" s="1030"/>
      <c r="F23" s="1030"/>
      <c r="G23" s="1030">
        <f>ROUND(SUM(C23:F23)/2,0)</f>
        <v>-4</v>
      </c>
      <c r="H23" s="1030"/>
      <c r="I23" s="1030">
        <f>(M23+Q23)/2</f>
        <v>0</v>
      </c>
      <c r="J23" s="1030">
        <f>(N23+R23)/2</f>
        <v>-3.78</v>
      </c>
      <c r="K23" s="1030">
        <f>(O23+S23)/2</f>
        <v>0</v>
      </c>
      <c r="L23" s="1030"/>
      <c r="M23" s="1018"/>
      <c r="N23" s="1018">
        <v>-3.78</v>
      </c>
      <c r="O23" s="1018"/>
      <c r="P23" s="1030"/>
      <c r="Q23" s="1018"/>
      <c r="R23" s="1018">
        <v>-3.78</v>
      </c>
      <c r="S23" s="1018"/>
    </row>
    <row r="24" spans="1:19">
      <c r="A24" s="1052">
        <f t="shared" si="4"/>
        <v>2.0799999999999983</v>
      </c>
      <c r="B24" s="1018" t="s">
        <v>679</v>
      </c>
      <c r="C24" s="1030">
        <f t="shared" si="0"/>
        <v>8633120.6400000006</v>
      </c>
      <c r="D24" s="1030">
        <f t="shared" si="1"/>
        <v>8977931.8200000003</v>
      </c>
      <c r="E24" s="1030"/>
      <c r="F24" s="1030"/>
      <c r="G24" s="1030">
        <f t="shared" si="2"/>
        <v>8805526</v>
      </c>
      <c r="H24" s="1030"/>
      <c r="I24" s="1030">
        <f t="shared" si="3"/>
        <v>0</v>
      </c>
      <c r="J24" s="1030">
        <f t="shared" si="3"/>
        <v>8805526.2300000004</v>
      </c>
      <c r="K24" s="1030">
        <f t="shared" si="3"/>
        <v>0</v>
      </c>
      <c r="L24" s="1030"/>
      <c r="M24" s="1018"/>
      <c r="N24" s="1018">
        <v>8633120.6400000006</v>
      </c>
      <c r="O24" s="1018"/>
      <c r="P24" s="1030"/>
      <c r="Q24" s="1018"/>
      <c r="R24" s="1018">
        <v>8977931.8200000003</v>
      </c>
      <c r="S24" s="1018"/>
    </row>
    <row r="25" spans="1:19">
      <c r="A25" s="1052">
        <f t="shared" si="4"/>
        <v>2.0899999999999981</v>
      </c>
      <c r="B25" s="1018" t="s">
        <v>865</v>
      </c>
      <c r="C25" s="1030">
        <f t="shared" si="0"/>
        <v>0</v>
      </c>
      <c r="D25" s="1030">
        <f t="shared" si="1"/>
        <v>0</v>
      </c>
      <c r="E25" s="1030"/>
      <c r="F25" s="1030"/>
      <c r="G25" s="1030">
        <f t="shared" si="2"/>
        <v>0</v>
      </c>
      <c r="H25" s="1030"/>
      <c r="I25" s="1030">
        <f t="shared" si="3"/>
        <v>0</v>
      </c>
      <c r="J25" s="1030">
        <f t="shared" si="3"/>
        <v>0</v>
      </c>
      <c r="K25" s="1030">
        <f t="shared" si="3"/>
        <v>0</v>
      </c>
      <c r="L25" s="1030"/>
      <c r="M25" s="1018"/>
      <c r="N25" s="1018">
        <v>0</v>
      </c>
      <c r="O25" s="1018"/>
      <c r="P25" s="1030"/>
      <c r="Q25" s="1018"/>
      <c r="R25" s="1018">
        <v>0</v>
      </c>
      <c r="S25" s="1018"/>
    </row>
    <row r="26" spans="1:19">
      <c r="A26" s="1052">
        <f t="shared" si="4"/>
        <v>2.0999999999999979</v>
      </c>
      <c r="B26" s="1412" t="s">
        <v>966</v>
      </c>
      <c r="C26" s="1412">
        <f t="shared" ref="C26" si="5">SUM(M26:O26)</f>
        <v>107609803.8469138</v>
      </c>
      <c r="D26" s="1412">
        <f t="shared" ref="D26" si="6">SUM(Q26:S26)</f>
        <v>85354968.372713804</v>
      </c>
      <c r="E26" s="1413"/>
      <c r="F26" s="1413"/>
      <c r="G26" s="1414">
        <f t="shared" ref="G26:G27" si="7">ROUND(SUM(C26:F26)/2,0)</f>
        <v>96482386</v>
      </c>
      <c r="H26" s="1414"/>
      <c r="I26" s="1414">
        <f t="shared" si="3"/>
        <v>0</v>
      </c>
      <c r="J26" s="1414">
        <f t="shared" si="3"/>
        <v>96482386.109813809</v>
      </c>
      <c r="K26" s="1414">
        <f t="shared" si="3"/>
        <v>0</v>
      </c>
      <c r="L26" s="1030"/>
      <c r="M26" s="1018"/>
      <c r="N26" s="1018">
        <v>107609803.8469138</v>
      </c>
      <c r="O26" s="1018"/>
      <c r="P26" s="1030"/>
      <c r="Q26" s="1018"/>
      <c r="R26" s="1018">
        <v>85354968.372713804</v>
      </c>
      <c r="S26" s="1018"/>
    </row>
    <row r="27" spans="1:19">
      <c r="A27" s="1052">
        <f t="shared" si="4"/>
        <v>2.1099999999999977</v>
      </c>
      <c r="B27" s="1412" t="s">
        <v>967</v>
      </c>
      <c r="C27" s="1412">
        <f>-E27</f>
        <v>-107609803.8469138</v>
      </c>
      <c r="D27" s="1412">
        <f>-F27</f>
        <v>-85354968.372713804</v>
      </c>
      <c r="E27" s="1413">
        <f>C26</f>
        <v>107609803.8469138</v>
      </c>
      <c r="F27" s="1413">
        <f>D26</f>
        <v>85354968.372713804</v>
      </c>
      <c r="G27" s="1414">
        <f t="shared" si="7"/>
        <v>0</v>
      </c>
      <c r="H27" s="1414"/>
      <c r="I27" s="1414"/>
      <c r="J27" s="1414"/>
      <c r="K27" s="1414"/>
      <c r="L27" s="1030"/>
      <c r="M27" s="1018"/>
      <c r="N27" s="1018"/>
      <c r="O27" s="1018"/>
      <c r="P27" s="1030"/>
      <c r="Q27" s="1018"/>
      <c r="R27" s="1018"/>
      <c r="S27" s="1018"/>
    </row>
    <row r="28" spans="1:19">
      <c r="A28" s="1052">
        <f t="shared" si="4"/>
        <v>2.1199999999999974</v>
      </c>
      <c r="B28" s="1018" t="s">
        <v>866</v>
      </c>
      <c r="C28" s="1018">
        <f t="shared" ref="C28:D33" si="8">-E28</f>
        <v>153984.16</v>
      </c>
      <c r="D28" s="1018">
        <f t="shared" si="8"/>
        <v>307170.92</v>
      </c>
      <c r="E28" s="1030">
        <v>-153984.16</v>
      </c>
      <c r="F28" s="1030">
        <v>-307170.92</v>
      </c>
      <c r="G28" s="1030">
        <f t="shared" ref="G28:G33" si="9">ROUND(SUM(C28:F28)/2,0)</f>
        <v>0</v>
      </c>
      <c r="H28" s="1030"/>
      <c r="I28" s="1030"/>
      <c r="J28" s="1030"/>
      <c r="K28" s="1030"/>
      <c r="L28" s="1030"/>
      <c r="M28" s="1030"/>
      <c r="N28" s="1030"/>
      <c r="O28" s="1030"/>
      <c r="P28" s="1030"/>
      <c r="Q28" s="1030"/>
      <c r="R28" s="1030"/>
      <c r="S28" s="1030"/>
    </row>
    <row r="29" spans="1:19">
      <c r="A29" s="1052">
        <f t="shared" si="4"/>
        <v>2.1299999999999972</v>
      </c>
      <c r="B29" s="1018" t="s">
        <v>867</v>
      </c>
      <c r="C29" s="1018">
        <f t="shared" si="8"/>
        <v>0</v>
      </c>
      <c r="D29" s="1018">
        <f t="shared" si="8"/>
        <v>0.01</v>
      </c>
      <c r="E29" s="1030">
        <v>0</v>
      </c>
      <c r="F29" s="1030">
        <v>-0.01</v>
      </c>
      <c r="G29" s="1030">
        <f t="shared" si="9"/>
        <v>0</v>
      </c>
      <c r="H29" s="1030"/>
      <c r="I29" s="1030"/>
      <c r="J29" s="1030"/>
      <c r="K29" s="1030"/>
      <c r="L29" s="1030"/>
      <c r="M29" s="1030"/>
      <c r="N29" s="1030"/>
      <c r="O29" s="1030"/>
      <c r="P29" s="1030"/>
      <c r="Q29" s="1030"/>
      <c r="R29" s="1030"/>
      <c r="S29" s="1030"/>
    </row>
    <row r="30" spans="1:19">
      <c r="A30" s="1052">
        <f t="shared" si="4"/>
        <v>2.139999999999997</v>
      </c>
      <c r="B30" s="1018" t="s">
        <v>868</v>
      </c>
      <c r="C30" s="1018">
        <f t="shared" si="8"/>
        <v>32993847.719999999</v>
      </c>
      <c r="D30" s="1018">
        <f t="shared" si="8"/>
        <v>33380267.039999999</v>
      </c>
      <c r="E30" s="1030">
        <v>-32993847.719999999</v>
      </c>
      <c r="F30" s="1030">
        <v>-33380267.039999999</v>
      </c>
      <c r="G30" s="1030">
        <f t="shared" si="9"/>
        <v>0</v>
      </c>
      <c r="H30" s="1030"/>
      <c r="I30" s="1030"/>
      <c r="J30" s="1030"/>
      <c r="K30" s="1030"/>
      <c r="L30" s="1030"/>
      <c r="M30" s="1030"/>
      <c r="N30" s="1030"/>
      <c r="O30" s="1030"/>
      <c r="P30" s="1030"/>
      <c r="Q30" s="1030"/>
      <c r="R30" s="1030"/>
      <c r="S30" s="1030"/>
    </row>
    <row r="31" spans="1:19">
      <c r="A31" s="1052">
        <f t="shared" si="4"/>
        <v>2.1499999999999968</v>
      </c>
      <c r="B31" s="1018" t="s">
        <v>869</v>
      </c>
      <c r="C31" s="1018">
        <f t="shared" si="8"/>
        <v>0</v>
      </c>
      <c r="D31" s="1018">
        <f t="shared" si="8"/>
        <v>0</v>
      </c>
      <c r="E31" s="1030">
        <v>0</v>
      </c>
      <c r="F31" s="1030">
        <v>0</v>
      </c>
      <c r="G31" s="1030">
        <f t="shared" si="9"/>
        <v>0</v>
      </c>
      <c r="H31" s="1030"/>
      <c r="I31" s="1030"/>
      <c r="J31" s="1030"/>
      <c r="K31" s="1030"/>
      <c r="L31" s="1030"/>
      <c r="M31" s="1030"/>
      <c r="N31" s="1030"/>
      <c r="O31" s="1030"/>
      <c r="P31" s="1030"/>
      <c r="Q31" s="1030"/>
      <c r="R31" s="1030"/>
      <c r="S31" s="1030"/>
    </row>
    <row r="32" spans="1:19">
      <c r="A32" s="1052">
        <f t="shared" si="4"/>
        <v>2.1599999999999966</v>
      </c>
      <c r="B32" s="1018" t="s">
        <v>870</v>
      </c>
      <c r="C32" s="1018">
        <f t="shared" si="8"/>
        <v>0</v>
      </c>
      <c r="D32" s="1018">
        <f t="shared" si="8"/>
        <v>0</v>
      </c>
      <c r="E32" s="1030">
        <v>0</v>
      </c>
      <c r="F32" s="1030">
        <v>0</v>
      </c>
      <c r="G32" s="1030">
        <f t="shared" si="9"/>
        <v>0</v>
      </c>
      <c r="H32" s="1030"/>
      <c r="I32" s="1030"/>
      <c r="J32" s="1030"/>
      <c r="K32" s="1030"/>
      <c r="L32" s="1030"/>
      <c r="M32" s="1030"/>
      <c r="N32" s="1030"/>
      <c r="O32" s="1030"/>
      <c r="P32" s="1030"/>
      <c r="Q32" s="1030"/>
      <c r="R32" s="1030"/>
      <c r="S32" s="1030"/>
    </row>
    <row r="33" spans="1:256">
      <c r="A33" s="1052">
        <f t="shared" si="4"/>
        <v>2.1699999999999964</v>
      </c>
      <c r="B33" s="1018" t="s">
        <v>871</v>
      </c>
      <c r="C33" s="1018">
        <f t="shared" si="8"/>
        <v>0</v>
      </c>
      <c r="D33" s="1018">
        <f t="shared" si="8"/>
        <v>0</v>
      </c>
      <c r="E33" s="1030">
        <v>0</v>
      </c>
      <c r="F33" s="1030">
        <v>0</v>
      </c>
      <c r="G33" s="1030">
        <f t="shared" si="9"/>
        <v>0</v>
      </c>
      <c r="H33" s="1030"/>
      <c r="I33" s="1030"/>
      <c r="J33" s="1030"/>
      <c r="K33" s="1030"/>
      <c r="L33" s="1030"/>
      <c r="M33" s="1030"/>
      <c r="N33" s="1030"/>
      <c r="O33" s="1030"/>
      <c r="P33" s="1030"/>
      <c r="Q33" s="1030"/>
      <c r="R33" s="1030"/>
      <c r="S33" s="1030"/>
    </row>
    <row r="34" spans="1:256">
      <c r="A34" s="1046"/>
      <c r="B34" s="1030"/>
      <c r="C34" s="1030"/>
      <c r="D34" s="1030"/>
      <c r="E34" s="1030"/>
      <c r="F34" s="1030"/>
      <c r="G34" s="1030"/>
      <c r="H34" s="1030"/>
      <c r="I34" s="1030"/>
      <c r="J34" s="1030"/>
      <c r="K34" s="1030"/>
      <c r="L34" s="1030"/>
      <c r="M34" s="1030"/>
      <c r="N34" s="1030"/>
      <c r="O34" s="1030"/>
      <c r="P34" s="1030"/>
      <c r="Q34" s="1030"/>
      <c r="R34" s="1030"/>
      <c r="S34" s="1030"/>
    </row>
    <row r="35" spans="1:256" ht="13.5" thickBot="1">
      <c r="A35" s="1013">
        <v>3</v>
      </c>
      <c r="B35" s="1034" t="s">
        <v>691</v>
      </c>
      <c r="C35" s="1047">
        <f>SUM(C17:C34)</f>
        <v>44365540.129999995</v>
      </c>
      <c r="D35" s="1047">
        <f>SUM(D17:D34)</f>
        <v>44975546.200000003</v>
      </c>
      <c r="E35" s="1047">
        <f>SUM(E17:E34)</f>
        <v>74461971.966913804</v>
      </c>
      <c r="F35" s="1047">
        <f>SUM(F17:F34)</f>
        <v>51667530.402713798</v>
      </c>
      <c r="G35" s="1047">
        <f>SUM(G17:G34)</f>
        <v>107735293</v>
      </c>
      <c r="H35" s="1030"/>
      <c r="I35" s="1047">
        <f>SUM(I17:I34)</f>
        <v>0</v>
      </c>
      <c r="J35" s="1047">
        <f>SUM(J17:J34)</f>
        <v>107735294.3498138</v>
      </c>
      <c r="K35" s="1047">
        <f>SUM(K17:K34)</f>
        <v>0</v>
      </c>
      <c r="L35" s="1030"/>
      <c r="M35" s="1047">
        <f>SUM(M17:M34)</f>
        <v>0</v>
      </c>
      <c r="N35" s="1047">
        <f>SUM(N17:N34)</f>
        <v>118827512.0969138</v>
      </c>
      <c r="O35" s="1047">
        <f>SUM(O17:O34)</f>
        <v>0</v>
      </c>
      <c r="P35" s="1030"/>
      <c r="Q35" s="1047">
        <f>SUM(Q17:Q34)</f>
        <v>0</v>
      </c>
      <c r="R35" s="1047">
        <f>SUM(R17:R34)</f>
        <v>96643076.602713808</v>
      </c>
      <c r="S35" s="1047">
        <f>SUM(S17:S34)</f>
        <v>0</v>
      </c>
    </row>
    <row r="36" spans="1:256" s="1160" customFormat="1" ht="13.5" thickTop="1">
      <c r="A36" s="1014">
        <v>4</v>
      </c>
      <c r="B36" s="1022" t="s">
        <v>692</v>
      </c>
      <c r="C36" s="1238">
        <v>0</v>
      </c>
      <c r="D36" s="1238">
        <v>0</v>
      </c>
      <c r="E36" s="1238">
        <v>0</v>
      </c>
      <c r="F36" s="1238">
        <v>0</v>
      </c>
      <c r="G36" s="1238">
        <v>0</v>
      </c>
      <c r="I36" s="1238">
        <v>0</v>
      </c>
      <c r="J36" s="1238">
        <v>0</v>
      </c>
      <c r="K36" s="1238">
        <v>0</v>
      </c>
      <c r="M36" s="1238">
        <v>0</v>
      </c>
      <c r="N36" s="1238">
        <v>0</v>
      </c>
      <c r="O36" s="1238">
        <v>0</v>
      </c>
      <c r="Q36" s="1238">
        <v>0</v>
      </c>
      <c r="R36" s="1238">
        <v>0</v>
      </c>
      <c r="S36" s="1238">
        <v>0</v>
      </c>
      <c r="IV36" s="1238"/>
    </row>
    <row r="37" spans="1:256">
      <c r="I37" s="1048"/>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87"/>
  <sheetViews>
    <sheetView topLeftCell="G1" workbookViewId="0">
      <selection activeCell="R24" sqref="R24"/>
    </sheetView>
  </sheetViews>
  <sheetFormatPr defaultColWidth="10" defaultRowHeight="12"/>
  <cols>
    <col min="1" max="1" width="9.42578125" style="1346" customWidth="1"/>
    <col min="2" max="2" width="20.85546875" style="1347" customWidth="1"/>
    <col min="3" max="3" width="35.5703125" style="1346" customWidth="1"/>
    <col min="4" max="4" width="12.85546875" style="1346" customWidth="1"/>
    <col min="5" max="5" width="10.42578125" style="1346" customWidth="1"/>
    <col min="6" max="6" width="16.42578125" style="1346" customWidth="1"/>
    <col min="7" max="7" width="12" style="1346" customWidth="1"/>
    <col min="8" max="8" width="14.28515625" style="1346" bestFit="1" customWidth="1"/>
    <col min="9" max="9" width="18.85546875" style="1346" customWidth="1"/>
    <col min="10" max="10" width="15.5703125" style="1346" customWidth="1"/>
    <col min="11" max="11" width="16.140625" style="1346" customWidth="1"/>
    <col min="12" max="13" width="15" style="1346" customWidth="1"/>
    <col min="14" max="14" width="13.5703125" style="1346" customWidth="1"/>
    <col min="15" max="15" width="15" style="1346" customWidth="1"/>
    <col min="16" max="17" width="17.5703125" style="1346" customWidth="1"/>
    <col min="18" max="18" width="33" style="1346" customWidth="1"/>
    <col min="19" max="19" width="15" style="1346" customWidth="1"/>
    <col min="20" max="21" width="14.5703125" style="1346" bestFit="1" customWidth="1"/>
    <col min="22" max="22" width="10.5703125" style="1346" bestFit="1" customWidth="1"/>
    <col min="23" max="16384" width="10" style="1346"/>
  </cols>
  <sheetData>
    <row r="1" spans="1:23" ht="12.75">
      <c r="A1" s="1346" t="s">
        <v>896</v>
      </c>
      <c r="R1" s="1348"/>
    </row>
    <row r="2" spans="1:23" ht="12.75">
      <c r="A2" s="1464" t="s">
        <v>989</v>
      </c>
      <c r="R2" s="1348"/>
      <c r="V2" s="1349"/>
    </row>
    <row r="3" spans="1:23" ht="12.75">
      <c r="A3" s="1464" t="s">
        <v>1032</v>
      </c>
      <c r="R3" s="1348"/>
      <c r="V3" s="1350"/>
    </row>
    <row r="4" spans="1:23">
      <c r="A4" s="1464" t="s">
        <v>1023</v>
      </c>
      <c r="G4" s="1351"/>
    </row>
    <row r="5" spans="1:23">
      <c r="A5" s="1464" t="s">
        <v>897</v>
      </c>
      <c r="I5" s="1352"/>
      <c r="J5" s="1352"/>
      <c r="P5" s="1352"/>
      <c r="Q5" s="1352"/>
    </row>
    <row r="6" spans="1:23">
      <c r="J6" s="1352"/>
      <c r="K6" s="1353"/>
      <c r="L6" s="1347"/>
      <c r="M6" s="1347"/>
      <c r="N6" s="1347"/>
      <c r="O6" s="1347"/>
      <c r="P6" s="1347"/>
      <c r="Q6" s="1347"/>
    </row>
    <row r="7" spans="1:23">
      <c r="B7" s="1354"/>
      <c r="C7" s="1354"/>
      <c r="D7" s="1354"/>
      <c r="E7" s="1354"/>
      <c r="F7" s="1354"/>
      <c r="G7" s="1354"/>
      <c r="H7" s="1354"/>
      <c r="I7" s="1354"/>
      <c r="J7" s="1354"/>
      <c r="K7" s="1354"/>
      <c r="L7" s="1354"/>
      <c r="M7" s="1354"/>
      <c r="N7" s="1354"/>
      <c r="O7" s="1354"/>
      <c r="P7" s="1354"/>
      <c r="Q7" s="1347"/>
    </row>
    <row r="8" spans="1:23">
      <c r="A8" s="1347" t="s">
        <v>448</v>
      </c>
      <c r="B8" s="1347" t="s">
        <v>449</v>
      </c>
      <c r="C8" s="1347" t="s">
        <v>450</v>
      </c>
      <c r="D8" s="1347" t="s">
        <v>451</v>
      </c>
      <c r="E8" s="1347" t="s">
        <v>452</v>
      </c>
      <c r="F8" s="1347" t="s">
        <v>453</v>
      </c>
      <c r="G8" s="1347" t="s">
        <v>454</v>
      </c>
      <c r="H8" s="1347" t="s">
        <v>455</v>
      </c>
      <c r="I8" s="1347" t="s">
        <v>898</v>
      </c>
      <c r="J8" s="1347" t="s">
        <v>899</v>
      </c>
      <c r="K8" s="1347" t="s">
        <v>458</v>
      </c>
      <c r="L8" s="1347" t="s">
        <v>459</v>
      </c>
      <c r="M8" s="1347" t="s">
        <v>460</v>
      </c>
      <c r="N8" s="1347" t="s">
        <v>33</v>
      </c>
      <c r="O8" s="1347" t="s">
        <v>109</v>
      </c>
      <c r="P8" s="1347" t="s">
        <v>154</v>
      </c>
      <c r="Q8" s="1347" t="s">
        <v>155</v>
      </c>
      <c r="R8" s="1347" t="s">
        <v>156</v>
      </c>
    </row>
    <row r="9" spans="1:23" ht="14.45" customHeight="1">
      <c r="B9" s="2"/>
      <c r="C9" s="2"/>
      <c r="D9" s="2"/>
      <c r="E9" s="2"/>
      <c r="I9" s="1516" t="s">
        <v>972</v>
      </c>
      <c r="J9" s="1516"/>
      <c r="K9" s="1517" t="s">
        <v>900</v>
      </c>
      <c r="L9" s="1517"/>
      <c r="M9" s="1517"/>
      <c r="N9" s="1518" t="s">
        <v>901</v>
      </c>
      <c r="O9" s="1518"/>
      <c r="P9" s="1516" t="s">
        <v>973</v>
      </c>
      <c r="Q9" s="1516"/>
    </row>
    <row r="10" spans="1:23" ht="69.95" customHeight="1">
      <c r="A10" s="1465" t="s">
        <v>902</v>
      </c>
      <c r="B10" s="1466" t="s">
        <v>1033</v>
      </c>
      <c r="C10" s="1467" t="s">
        <v>903</v>
      </c>
      <c r="D10" s="1466" t="s">
        <v>904</v>
      </c>
      <c r="E10" s="1466" t="s">
        <v>905</v>
      </c>
      <c r="F10" s="1466" t="s">
        <v>1034</v>
      </c>
      <c r="G10" s="1466" t="s">
        <v>906</v>
      </c>
      <c r="H10" s="1466" t="s">
        <v>907</v>
      </c>
      <c r="I10" s="1468" t="s">
        <v>1035</v>
      </c>
      <c r="J10" s="1468" t="s">
        <v>1036</v>
      </c>
      <c r="K10" s="1469" t="s">
        <v>908</v>
      </c>
      <c r="L10" s="1469">
        <v>182.3</v>
      </c>
      <c r="M10" s="1469">
        <v>254</v>
      </c>
      <c r="N10" s="1469" t="s">
        <v>1037</v>
      </c>
      <c r="O10" s="1469" t="s">
        <v>909</v>
      </c>
      <c r="P10" s="1468" t="s">
        <v>1038</v>
      </c>
      <c r="Q10" s="1468" t="s">
        <v>1039</v>
      </c>
      <c r="R10" s="1355" t="s">
        <v>910</v>
      </c>
    </row>
    <row r="11" spans="1:23">
      <c r="B11" s="1346"/>
      <c r="D11" s="1356"/>
      <c r="E11" s="1356"/>
      <c r="F11" s="1356"/>
      <c r="G11" s="1356"/>
      <c r="H11" s="1356"/>
      <c r="I11" s="1357"/>
      <c r="J11" s="1357"/>
      <c r="K11" s="1357"/>
      <c r="L11" s="1357"/>
      <c r="M11" s="1357"/>
      <c r="N11" s="1357"/>
      <c r="O11" s="1357"/>
      <c r="P11" s="1519" t="s">
        <v>911</v>
      </c>
      <c r="Q11" s="1519"/>
      <c r="R11" s="1355"/>
    </row>
    <row r="12" spans="1:23">
      <c r="B12" s="1358" t="s">
        <v>912</v>
      </c>
      <c r="C12" s="1359"/>
      <c r="D12" s="1359"/>
      <c r="E12" s="1359"/>
      <c r="F12" s="1359"/>
      <c r="G12" s="1359"/>
      <c r="H12" s="1359"/>
      <c r="I12" s="1359"/>
      <c r="J12" s="1359"/>
      <c r="K12" s="1359"/>
      <c r="L12" s="1359"/>
      <c r="M12" s="1359"/>
      <c r="N12" s="1359"/>
      <c r="O12" s="1359"/>
      <c r="P12" s="1359"/>
      <c r="Q12" s="1359"/>
      <c r="R12" s="1350"/>
      <c r="S12" s="1350"/>
      <c r="T12" s="1350"/>
      <c r="U12" s="1350"/>
      <c r="V12" s="1350"/>
      <c r="W12" s="1350"/>
    </row>
    <row r="13" spans="1:23">
      <c r="A13" s="1346" t="s">
        <v>913</v>
      </c>
      <c r="B13" s="1360" t="s">
        <v>914</v>
      </c>
      <c r="C13" s="1346" t="s">
        <v>915</v>
      </c>
      <c r="D13" s="1361" t="s">
        <v>916</v>
      </c>
      <c r="E13" s="1361" t="s">
        <v>917</v>
      </c>
      <c r="F13" s="1362"/>
      <c r="G13" s="1361"/>
      <c r="H13" s="1361"/>
      <c r="I13" s="1363">
        <v>32993848</v>
      </c>
      <c r="J13" s="1364" t="s">
        <v>416</v>
      </c>
      <c r="K13" s="1363"/>
      <c r="L13" s="1363"/>
      <c r="M13" s="1363">
        <v>386419</v>
      </c>
      <c r="N13" s="1363"/>
      <c r="O13" s="1363"/>
      <c r="P13" s="1365">
        <f>SUM(I13:O13)</f>
        <v>33380267</v>
      </c>
      <c r="Q13" s="1366" t="s">
        <v>416</v>
      </c>
      <c r="R13" s="1367" t="s">
        <v>977</v>
      </c>
      <c r="S13" s="1350"/>
      <c r="T13" s="1350"/>
      <c r="U13" s="1350"/>
      <c r="V13" s="1350"/>
      <c r="W13" s="1350"/>
    </row>
    <row r="14" spans="1:23">
      <c r="A14" s="1346" t="s">
        <v>918</v>
      </c>
      <c r="B14" s="1360" t="s">
        <v>919</v>
      </c>
      <c r="C14" s="1346" t="s">
        <v>920</v>
      </c>
      <c r="D14" s="1361" t="s">
        <v>921</v>
      </c>
      <c r="E14" s="1361" t="s">
        <v>917</v>
      </c>
      <c r="F14" s="1368">
        <v>-106249253</v>
      </c>
      <c r="G14" s="1369" t="s">
        <v>922</v>
      </c>
      <c r="H14" s="1369" t="s">
        <v>923</v>
      </c>
      <c r="I14" s="1346" t="s">
        <v>416</v>
      </c>
      <c r="J14" s="1363">
        <v>-106869587.94</v>
      </c>
      <c r="K14" s="1363"/>
      <c r="L14" s="1363"/>
      <c r="M14" s="1363"/>
      <c r="N14" s="1363">
        <v>122677</v>
      </c>
      <c r="O14" s="1363">
        <v>-1037</v>
      </c>
      <c r="P14" s="1370" t="s">
        <v>416</v>
      </c>
      <c r="Q14" s="1371">
        <f>SUM(J14:O14)</f>
        <v>-106747947.94</v>
      </c>
      <c r="R14" s="1367" t="s">
        <v>962</v>
      </c>
      <c r="S14" s="1350"/>
      <c r="T14" s="1350"/>
      <c r="U14" s="1350"/>
      <c r="V14" s="1350"/>
      <c r="W14" s="1350"/>
    </row>
    <row r="15" spans="1:23">
      <c r="A15" s="1346" t="s">
        <v>924</v>
      </c>
      <c r="B15" s="1360" t="s">
        <v>919</v>
      </c>
      <c r="C15" s="1346" t="s">
        <v>920</v>
      </c>
      <c r="D15" s="1361" t="s">
        <v>925</v>
      </c>
      <c r="E15" s="1361" t="s">
        <v>917</v>
      </c>
      <c r="F15" s="1372">
        <v>2532427</v>
      </c>
      <c r="G15" s="1369" t="s">
        <v>926</v>
      </c>
      <c r="H15" s="1369" t="s">
        <v>927</v>
      </c>
      <c r="J15" s="1363">
        <v>1768258</v>
      </c>
      <c r="K15" s="1363"/>
      <c r="L15" s="1363"/>
      <c r="M15" s="1363"/>
      <c r="N15" s="1363">
        <v>-197402</v>
      </c>
      <c r="O15" s="1363"/>
      <c r="P15" s="1370"/>
      <c r="Q15" s="1371">
        <f>SUM(J15:O15)</f>
        <v>1570856</v>
      </c>
      <c r="R15" s="1408" t="s">
        <v>963</v>
      </c>
      <c r="S15" s="1350"/>
      <c r="T15" s="1350"/>
      <c r="U15" s="1350"/>
      <c r="V15" s="1350"/>
      <c r="W15" s="1350"/>
    </row>
    <row r="16" spans="1:23">
      <c r="A16" s="1346" t="s">
        <v>928</v>
      </c>
      <c r="B16" s="1360" t="s">
        <v>929</v>
      </c>
      <c r="C16" s="1346" t="s">
        <v>930</v>
      </c>
      <c r="D16" s="1361" t="s">
        <v>921</v>
      </c>
      <c r="E16" s="1361" t="s">
        <v>917</v>
      </c>
      <c r="F16" s="1372"/>
      <c r="G16" s="1369"/>
      <c r="H16" s="1369"/>
      <c r="I16" s="1363">
        <v>106869588</v>
      </c>
      <c r="J16" s="1364"/>
      <c r="K16" s="1363"/>
      <c r="L16" s="1363"/>
      <c r="M16" s="1363">
        <v>-121640</v>
      </c>
      <c r="N16" s="1363"/>
      <c r="O16" s="1363"/>
      <c r="P16" s="1365">
        <f>SUM(I16:O16)</f>
        <v>106747948</v>
      </c>
      <c r="Q16" s="1364"/>
      <c r="R16" s="1520" t="s">
        <v>978</v>
      </c>
      <c r="S16" s="1350"/>
      <c r="T16" s="1350"/>
      <c r="U16" s="1350"/>
      <c r="V16" s="1350"/>
      <c r="W16" s="1350"/>
    </row>
    <row r="17" spans="1:23">
      <c r="A17" s="1346" t="s">
        <v>931</v>
      </c>
      <c r="B17" s="1360" t="s">
        <v>929</v>
      </c>
      <c r="C17" s="1346" t="s">
        <v>930</v>
      </c>
      <c r="D17" s="1361" t="s">
        <v>925</v>
      </c>
      <c r="E17" s="1361" t="s">
        <v>917</v>
      </c>
      <c r="F17" s="1372"/>
      <c r="G17" s="1369"/>
      <c r="H17" s="1369"/>
      <c r="I17" s="1363">
        <v>-1768258</v>
      </c>
      <c r="J17" s="1364"/>
      <c r="K17" s="1363"/>
      <c r="L17" s="1363"/>
      <c r="M17" s="1363">
        <v>197402</v>
      </c>
      <c r="N17" s="1363"/>
      <c r="O17" s="1363"/>
      <c r="P17" s="1365">
        <f>SUM(I17:O17)</f>
        <v>-1570856</v>
      </c>
      <c r="Q17" s="1364"/>
      <c r="R17" s="1520"/>
      <c r="S17" s="1350"/>
      <c r="T17" s="1350"/>
      <c r="U17" s="1350"/>
      <c r="V17" s="1350"/>
      <c r="W17" s="1350"/>
    </row>
    <row r="18" spans="1:23">
      <c r="A18" s="1346" t="s">
        <v>932</v>
      </c>
      <c r="B18" s="1360" t="s">
        <v>933</v>
      </c>
      <c r="C18" s="1346" t="s">
        <v>934</v>
      </c>
      <c r="D18" s="1361" t="s">
        <v>925</v>
      </c>
      <c r="E18" s="1361" t="s">
        <v>917</v>
      </c>
      <c r="F18" s="1372">
        <v>3966093</v>
      </c>
      <c r="G18" s="1369" t="s">
        <v>926</v>
      </c>
      <c r="H18" s="1369" t="s">
        <v>927</v>
      </c>
      <c r="I18" s="1346" t="s">
        <v>416</v>
      </c>
      <c r="J18" s="1363">
        <v>9365122</v>
      </c>
      <c r="K18" s="1363"/>
      <c r="L18" s="1363"/>
      <c r="M18" s="1363"/>
      <c r="N18" s="1363">
        <v>-1045487</v>
      </c>
      <c r="O18" s="1363"/>
      <c r="P18" s="1370" t="s">
        <v>416</v>
      </c>
      <c r="Q18" s="1371">
        <f>SUM(J18:O18)</f>
        <v>8319635</v>
      </c>
      <c r="R18" s="1367" t="s">
        <v>961</v>
      </c>
      <c r="S18" s="1350"/>
      <c r="T18" s="1350"/>
      <c r="U18" s="1350"/>
      <c r="V18" s="1350"/>
      <c r="W18" s="1350"/>
    </row>
    <row r="19" spans="1:23">
      <c r="A19" s="1346" t="s">
        <v>935</v>
      </c>
      <c r="B19" s="1373" t="s">
        <v>936</v>
      </c>
      <c r="C19" s="1346" t="s">
        <v>937</v>
      </c>
      <c r="D19" s="1361" t="s">
        <v>925</v>
      </c>
      <c r="E19" s="1361" t="s">
        <v>917</v>
      </c>
      <c r="F19" s="1368"/>
      <c r="G19" s="1369"/>
      <c r="H19" s="1369"/>
      <c r="I19" s="1363">
        <v>-9365121.5</v>
      </c>
      <c r="J19" s="1364"/>
      <c r="K19" s="1363"/>
      <c r="L19" s="1363"/>
      <c r="M19" s="1363">
        <v>1045487</v>
      </c>
      <c r="N19" s="1363"/>
      <c r="O19" s="1363"/>
      <c r="P19" s="1365">
        <f>SUM(I19:O19)</f>
        <v>-8319634.5</v>
      </c>
      <c r="Q19" s="1370"/>
      <c r="R19" s="1367" t="s">
        <v>979</v>
      </c>
      <c r="S19" s="1350"/>
      <c r="T19" s="1350"/>
      <c r="U19" s="1350"/>
      <c r="V19" s="1350"/>
      <c r="W19" s="1350"/>
    </row>
    <row r="20" spans="1:23">
      <c r="A20" s="1346" t="s">
        <v>938</v>
      </c>
      <c r="B20" s="1375" t="s">
        <v>939</v>
      </c>
      <c r="D20" s="1361"/>
      <c r="E20" s="1361"/>
      <c r="F20" s="1368"/>
      <c r="G20" s="1369"/>
      <c r="H20" s="1369"/>
      <c r="I20" s="1363"/>
      <c r="J20" s="1363"/>
      <c r="K20" s="1363"/>
      <c r="L20" s="1363"/>
      <c r="M20" s="1363"/>
      <c r="N20" s="1363"/>
      <c r="O20" s="1363"/>
      <c r="P20" s="1366"/>
      <c r="Q20" s="1365"/>
      <c r="R20" s="1374"/>
      <c r="S20" s="1350"/>
      <c r="T20" s="1350"/>
      <c r="U20" s="1350"/>
      <c r="V20" s="1350"/>
      <c r="W20" s="1350"/>
    </row>
    <row r="21" spans="1:23" ht="12.75">
      <c r="B21" s="1376"/>
      <c r="C21" s="1376"/>
      <c r="D21" s="1376"/>
      <c r="E21" s="1376"/>
      <c r="F21" s="1376"/>
      <c r="G21" s="1376"/>
      <c r="H21" s="1376"/>
      <c r="I21" s="1376"/>
      <c r="J21" s="1376"/>
      <c r="K21" s="1376"/>
      <c r="L21" s="1376"/>
      <c r="M21" s="1376"/>
      <c r="N21"/>
      <c r="O21"/>
      <c r="P21"/>
      <c r="Q21"/>
      <c r="R21"/>
      <c r="S21" s="1350"/>
      <c r="T21" s="1350"/>
      <c r="U21" s="1350"/>
      <c r="V21" s="1350"/>
      <c r="W21" s="1350"/>
    </row>
    <row r="22" spans="1:23" s="1350" customFormat="1">
      <c r="A22" s="1346"/>
      <c r="B22" s="1358" t="s">
        <v>940</v>
      </c>
      <c r="Q22" s="1377"/>
      <c r="R22" s="1378"/>
    </row>
    <row r="23" spans="1:23" ht="11.45" customHeight="1">
      <c r="A23" s="1346" t="s">
        <v>941</v>
      </c>
      <c r="B23" s="1379">
        <v>182.3</v>
      </c>
      <c r="C23" s="1380" t="s">
        <v>942</v>
      </c>
      <c r="D23" s="1381" t="s">
        <v>416</v>
      </c>
      <c r="E23" s="1361" t="s">
        <v>917</v>
      </c>
      <c r="F23" s="1381"/>
      <c r="G23" s="1381" t="s">
        <v>416</v>
      </c>
      <c r="H23" s="1381"/>
      <c r="I23" s="1382">
        <v>0</v>
      </c>
      <c r="J23" s="1363"/>
      <c r="K23" s="1363"/>
      <c r="L23" s="1363"/>
      <c r="M23" s="1363"/>
      <c r="N23" s="1363"/>
      <c r="O23" s="1364"/>
      <c r="P23" s="1366">
        <f>SUM(I23:O23)</f>
        <v>0</v>
      </c>
      <c r="Q23" s="1383"/>
      <c r="R23" s="1367" t="s">
        <v>943</v>
      </c>
      <c r="S23" s="1350"/>
      <c r="T23" s="1350"/>
      <c r="U23" s="1350"/>
      <c r="V23" s="1350"/>
      <c r="W23" s="1350"/>
    </row>
    <row r="24" spans="1:23" ht="11.45" customHeight="1">
      <c r="A24" s="1346" t="s">
        <v>944</v>
      </c>
      <c r="B24" s="1379">
        <v>254</v>
      </c>
      <c r="C24" s="1380" t="s">
        <v>945</v>
      </c>
      <c r="D24" s="1381" t="s">
        <v>416</v>
      </c>
      <c r="E24" s="1361" t="s">
        <v>917</v>
      </c>
      <c r="F24" s="1381"/>
      <c r="G24" s="1381" t="s">
        <v>416</v>
      </c>
      <c r="H24" s="1381"/>
      <c r="I24" s="1382">
        <v>-128730055</v>
      </c>
      <c r="J24" s="1363"/>
      <c r="K24" s="1363"/>
      <c r="L24" s="1363"/>
      <c r="M24" s="1363">
        <v>-1507668</v>
      </c>
      <c r="N24" s="1363"/>
      <c r="O24" s="1364"/>
      <c r="P24" s="1366">
        <f>SUM(I24:O24)</f>
        <v>-130237723</v>
      </c>
      <c r="Q24" s="1383"/>
      <c r="R24" s="1367" t="s">
        <v>943</v>
      </c>
      <c r="S24" s="1350"/>
      <c r="T24" s="1350"/>
      <c r="U24" s="1350"/>
      <c r="V24" s="1350"/>
      <c r="W24" s="1350"/>
    </row>
    <row r="25" spans="1:23" ht="11.45" customHeight="1">
      <c r="A25" s="1346" t="s">
        <v>946</v>
      </c>
      <c r="B25" s="1375" t="s">
        <v>939</v>
      </c>
      <c r="C25" s="1380"/>
      <c r="D25" s="1381"/>
      <c r="E25" s="1361"/>
      <c r="F25" s="1381"/>
      <c r="G25" s="1381"/>
      <c r="H25" s="1381"/>
      <c r="I25" s="1363"/>
      <c r="J25" s="1363"/>
      <c r="K25" s="1363"/>
      <c r="L25" s="1363"/>
      <c r="M25" s="1363"/>
      <c r="N25" s="1363"/>
      <c r="O25" s="1381"/>
      <c r="P25" s="1383"/>
      <c r="Q25" s="1383"/>
      <c r="R25" s="1367"/>
      <c r="S25" s="1350"/>
      <c r="T25" s="1350"/>
      <c r="U25" s="1350"/>
      <c r="V25" s="1350"/>
      <c r="W25" s="1350"/>
    </row>
    <row r="26" spans="1:23">
      <c r="B26" s="1379"/>
      <c r="C26" s="1380"/>
      <c r="D26" s="1354"/>
      <c r="E26" s="1354"/>
      <c r="F26" s="1354"/>
      <c r="G26" s="1354"/>
      <c r="H26" s="1354"/>
      <c r="I26" s="1354"/>
      <c r="J26" s="1354"/>
      <c r="K26" s="1354"/>
      <c r="L26" s="1354"/>
      <c r="M26" s="1354"/>
      <c r="N26" s="1354"/>
      <c r="O26" s="1354"/>
      <c r="P26" s="1354"/>
      <c r="Q26" s="1354"/>
      <c r="R26" s="1384"/>
      <c r="S26" s="1350"/>
      <c r="T26" s="1350"/>
      <c r="U26" s="1350"/>
      <c r="V26" s="1350"/>
      <c r="W26" s="1350"/>
    </row>
    <row r="27" spans="1:23" ht="12.75" thickBot="1">
      <c r="A27" s="1385">
        <v>3</v>
      </c>
      <c r="B27" s="1521" t="str">
        <f>"Total For Accounting Entires (Sum of Lines "&amp;A13&amp;" through "&amp;A24&amp;")"</f>
        <v>Total For Accounting Entires (Sum of Lines 1a through 2b)</v>
      </c>
      <c r="C27" s="1521"/>
      <c r="D27" s="1381"/>
      <c r="E27" s="1381"/>
      <c r="F27" s="1381"/>
      <c r="G27" s="1381"/>
      <c r="H27" s="1381"/>
      <c r="I27" s="1386">
        <f>SUM(I13:I26)</f>
        <v>1.5</v>
      </c>
      <c r="J27" s="1387">
        <f>SUM(J13:J26)</f>
        <v>-95736207.939999998</v>
      </c>
      <c r="K27" s="1388">
        <f>SUM(K13:K26)</f>
        <v>0</v>
      </c>
      <c r="L27" s="1388">
        <f>SUM(L13:L26)</f>
        <v>0</v>
      </c>
      <c r="M27" s="1388">
        <f>SUM(M13:M26)</f>
        <v>0</v>
      </c>
      <c r="N27" s="1387">
        <f>-SUM(N13:N26)</f>
        <v>1120212</v>
      </c>
      <c r="O27" s="1387">
        <f>-SUM(O13:O26)</f>
        <v>1037</v>
      </c>
      <c r="P27" s="1388">
        <f>SUM(P13:P26)</f>
        <v>1.5</v>
      </c>
      <c r="Q27" s="1387">
        <f>SUM(Q13:Q26)</f>
        <v>-96857456.939999998</v>
      </c>
      <c r="R27" s="1389"/>
      <c r="S27" s="1350"/>
      <c r="T27" s="1350"/>
      <c r="U27" s="1350"/>
      <c r="V27" s="1350"/>
      <c r="W27" s="1350"/>
    </row>
    <row r="28" spans="1:23" ht="12.75" thickTop="1">
      <c r="B28" s="1379"/>
      <c r="C28" s="1380"/>
      <c r="D28" s="1354"/>
      <c r="E28" s="1354"/>
      <c r="F28" s="1354"/>
      <c r="G28" s="1354"/>
      <c r="H28" s="1354"/>
      <c r="I28" s="1390"/>
      <c r="J28" s="1372"/>
      <c r="K28" s="1391"/>
      <c r="L28" s="1391"/>
      <c r="M28" s="1391"/>
      <c r="N28" s="1392" t="s">
        <v>947</v>
      </c>
      <c r="O28" s="1392"/>
      <c r="P28" s="1391"/>
      <c r="Q28" s="1393"/>
      <c r="R28" s="1389"/>
      <c r="S28" s="1350"/>
      <c r="T28" s="1350"/>
      <c r="U28" s="1350"/>
      <c r="V28" s="1350"/>
      <c r="W28" s="1350"/>
    </row>
    <row r="29" spans="1:23">
      <c r="B29" s="1346"/>
      <c r="C29" s="1380"/>
      <c r="D29" s="1354"/>
      <c r="E29" s="1354"/>
      <c r="F29" s="1354"/>
      <c r="G29" s="1354"/>
      <c r="H29" s="1354"/>
      <c r="I29" s="1390"/>
      <c r="J29" s="1393"/>
      <c r="K29" s="1391"/>
      <c r="L29" s="1391"/>
      <c r="M29" s="1391"/>
      <c r="N29" s="1393"/>
      <c r="O29" s="1393"/>
      <c r="P29" s="1391"/>
      <c r="Q29" s="1393"/>
      <c r="R29" s="1389"/>
      <c r="S29" s="1350"/>
      <c r="T29" s="1350"/>
      <c r="U29" s="1350"/>
      <c r="V29" s="1350"/>
      <c r="W29" s="1350"/>
    </row>
    <row r="30" spans="1:23" ht="15" customHeight="1">
      <c r="A30" s="1456" t="s">
        <v>948</v>
      </c>
      <c r="B30" s="1515" t="s">
        <v>949</v>
      </c>
      <c r="C30" s="1515"/>
      <c r="D30" s="1515"/>
      <c r="E30" s="1515"/>
      <c r="F30" s="1515"/>
      <c r="G30" s="1515"/>
      <c r="H30" s="1515"/>
      <c r="I30" s="1515"/>
      <c r="J30" s="1515"/>
      <c r="K30" s="1395"/>
      <c r="L30" s="1396"/>
      <c r="O30" s="1397"/>
      <c r="P30" s="1397"/>
      <c r="Q30" s="1397"/>
      <c r="R30" s="1350"/>
    </row>
    <row r="31" spans="1:23">
      <c r="A31" s="1457"/>
      <c r="B31" s="1515"/>
      <c r="C31" s="1515"/>
      <c r="D31" s="1515"/>
      <c r="E31" s="1515"/>
      <c r="F31" s="1515"/>
      <c r="G31" s="1515"/>
      <c r="H31" s="1515"/>
      <c r="I31" s="1515"/>
      <c r="J31" s="1515"/>
      <c r="K31" s="1395"/>
      <c r="L31" s="1396"/>
      <c r="O31" s="1397"/>
      <c r="R31" s="1350"/>
    </row>
    <row r="32" spans="1:23">
      <c r="A32" s="1457"/>
      <c r="B32" s="1515"/>
      <c r="C32" s="1515"/>
      <c r="D32" s="1515"/>
      <c r="E32" s="1515"/>
      <c r="F32" s="1515"/>
      <c r="G32" s="1515"/>
      <c r="H32" s="1515"/>
      <c r="I32" s="1515"/>
      <c r="J32" s="1515"/>
      <c r="K32" s="1395"/>
      <c r="L32" s="1396"/>
      <c r="R32" s="1350"/>
    </row>
    <row r="33" spans="1:18">
      <c r="A33" s="1457"/>
      <c r="B33" s="1515"/>
      <c r="C33" s="1515"/>
      <c r="D33" s="1515"/>
      <c r="E33" s="1515"/>
      <c r="F33" s="1515"/>
      <c r="G33" s="1515"/>
      <c r="H33" s="1515"/>
      <c r="I33" s="1515"/>
      <c r="J33" s="1515"/>
      <c r="K33" s="1395"/>
      <c r="L33" s="1396"/>
      <c r="P33" s="1397"/>
      <c r="Q33" s="1397"/>
      <c r="R33" s="1350"/>
    </row>
    <row r="34" spans="1:18">
      <c r="A34" s="1457"/>
      <c r="B34" s="1515"/>
      <c r="C34" s="1515"/>
      <c r="D34" s="1515"/>
      <c r="E34" s="1515"/>
      <c r="F34" s="1515"/>
      <c r="G34" s="1515"/>
      <c r="H34" s="1515"/>
      <c r="I34" s="1515"/>
      <c r="J34" s="1515"/>
      <c r="K34" s="1395"/>
      <c r="R34" s="1350"/>
    </row>
    <row r="35" spans="1:18">
      <c r="A35" s="1457"/>
      <c r="B35" s="1515"/>
      <c r="C35" s="1515"/>
      <c r="D35" s="1515"/>
      <c r="E35" s="1515"/>
      <c r="F35" s="1515"/>
      <c r="G35" s="1515"/>
      <c r="H35" s="1515"/>
      <c r="I35" s="1515"/>
      <c r="J35" s="1515"/>
      <c r="K35" s="1395"/>
      <c r="R35" s="1350"/>
    </row>
    <row r="36" spans="1:18" ht="5.0999999999999996" customHeight="1">
      <c r="A36" s="1457"/>
      <c r="B36" s="1458"/>
      <c r="C36" s="1458"/>
      <c r="D36" s="1458"/>
      <c r="E36" s="1458"/>
      <c r="F36" s="1458"/>
      <c r="G36" s="1458"/>
      <c r="H36" s="1458"/>
      <c r="I36" s="1458"/>
      <c r="J36" s="1458"/>
      <c r="K36" s="1395"/>
      <c r="R36" s="1350"/>
    </row>
    <row r="37" spans="1:18" ht="12.6" customHeight="1">
      <c r="A37" s="1457" t="s">
        <v>950</v>
      </c>
      <c r="B37" s="1459" t="s">
        <v>1024</v>
      </c>
      <c r="C37" s="1459"/>
      <c r="D37" s="1459"/>
      <c r="E37" s="1459"/>
      <c r="F37" s="1459"/>
      <c r="G37" s="1459"/>
      <c r="H37" s="1459"/>
      <c r="I37" s="1459"/>
      <c r="J37" s="1459"/>
      <c r="K37" s="1395"/>
      <c r="R37" s="1350"/>
    </row>
    <row r="38" spans="1:18" ht="5.0999999999999996" customHeight="1">
      <c r="A38" s="1457"/>
      <c r="B38" s="1458"/>
      <c r="C38" s="1458"/>
      <c r="D38" s="1458"/>
      <c r="E38" s="1458"/>
      <c r="F38" s="1458"/>
      <c r="G38" s="1458"/>
      <c r="H38" s="1458"/>
      <c r="I38" s="1458"/>
      <c r="J38" s="1458"/>
      <c r="K38" s="1395"/>
      <c r="R38" s="1350"/>
    </row>
    <row r="39" spans="1:18" s="1399" customFormat="1" ht="12.6" customHeight="1">
      <c r="A39" s="1457" t="s">
        <v>951</v>
      </c>
      <c r="B39" s="1522" t="s">
        <v>1025</v>
      </c>
      <c r="C39" s="1522"/>
      <c r="D39" s="1522"/>
      <c r="E39" s="1522"/>
      <c r="F39" s="1522"/>
      <c r="G39" s="1522"/>
      <c r="H39" s="1522"/>
      <c r="I39" s="1522"/>
      <c r="J39" s="1522"/>
      <c r="K39" s="1398"/>
      <c r="R39" s="1377"/>
    </row>
    <row r="40" spans="1:18" s="1399" customFormat="1" ht="12.6" customHeight="1">
      <c r="A40" s="1457"/>
      <c r="B40" s="1522"/>
      <c r="C40" s="1522"/>
      <c r="D40" s="1522"/>
      <c r="E40" s="1522"/>
      <c r="F40" s="1522"/>
      <c r="G40" s="1522"/>
      <c r="H40" s="1522"/>
      <c r="I40" s="1522"/>
      <c r="J40" s="1522"/>
      <c r="K40" s="1398"/>
      <c r="R40" s="1377"/>
    </row>
    <row r="41" spans="1:18" ht="5.0999999999999996" customHeight="1">
      <c r="A41" s="1457"/>
      <c r="B41" s="1458"/>
      <c r="C41" s="1458"/>
      <c r="D41" s="1458"/>
      <c r="E41" s="1458"/>
      <c r="F41" s="1458"/>
      <c r="G41" s="1458"/>
      <c r="H41" s="1458"/>
      <c r="I41" s="1458"/>
      <c r="J41" s="1458"/>
      <c r="K41" s="1395"/>
      <c r="R41" s="1350"/>
    </row>
    <row r="42" spans="1:18">
      <c r="A42" s="1457" t="s">
        <v>952</v>
      </c>
      <c r="B42" s="1460" t="s">
        <v>1026</v>
      </c>
      <c r="C42" s="1458"/>
      <c r="D42" s="1458"/>
      <c r="E42" s="1458"/>
      <c r="F42" s="1458"/>
      <c r="G42" s="1458"/>
      <c r="H42" s="1458"/>
      <c r="I42" s="1458"/>
      <c r="J42" s="1458"/>
      <c r="K42" s="1395"/>
      <c r="R42" s="1350"/>
    </row>
    <row r="43" spans="1:18" ht="8.1" customHeight="1">
      <c r="A43" s="1457"/>
      <c r="B43" s="1460"/>
      <c r="C43" s="1458"/>
      <c r="D43" s="1458"/>
      <c r="E43" s="1458"/>
      <c r="F43" s="1458"/>
      <c r="G43" s="1458"/>
      <c r="H43" s="1458"/>
      <c r="I43" s="1458"/>
      <c r="J43" s="1458"/>
      <c r="K43" s="1395"/>
      <c r="R43" s="1350"/>
    </row>
    <row r="44" spans="1:18" ht="12" customHeight="1">
      <c r="A44" s="1461" t="s">
        <v>953</v>
      </c>
      <c r="B44" s="1515" t="s">
        <v>1027</v>
      </c>
      <c r="C44" s="1515"/>
      <c r="D44" s="1515"/>
      <c r="E44" s="1515"/>
      <c r="F44" s="1515"/>
      <c r="G44" s="1515"/>
      <c r="H44" s="1515"/>
      <c r="I44" s="1515"/>
      <c r="J44" s="1458"/>
      <c r="K44" s="1396"/>
      <c r="R44" s="1350"/>
    </row>
    <row r="45" spans="1:18" ht="11.45" customHeight="1">
      <c r="A45" s="1457"/>
      <c r="B45" s="1515"/>
      <c r="C45" s="1515"/>
      <c r="D45" s="1515"/>
      <c r="E45" s="1515"/>
      <c r="F45" s="1515"/>
      <c r="G45" s="1515"/>
      <c r="H45" s="1515"/>
      <c r="I45" s="1515"/>
      <c r="J45" s="1458"/>
      <c r="R45" s="1350"/>
    </row>
    <row r="46" spans="1:18">
      <c r="A46" s="1457"/>
      <c r="B46" s="1462"/>
      <c r="C46" s="1457"/>
      <c r="D46" s="1457"/>
      <c r="E46" s="1457"/>
      <c r="F46" s="1457"/>
      <c r="G46" s="1457"/>
      <c r="H46" s="1457"/>
      <c r="I46" s="1457"/>
      <c r="J46" s="1457"/>
      <c r="R46" s="1350"/>
    </row>
    <row r="47" spans="1:18">
      <c r="A47" s="1461" t="s">
        <v>1028</v>
      </c>
      <c r="B47" s="1515" t="s">
        <v>1029</v>
      </c>
      <c r="C47" s="1515"/>
      <c r="D47" s="1515"/>
      <c r="E47" s="1515"/>
      <c r="F47" s="1515"/>
      <c r="G47" s="1515"/>
      <c r="H47" s="1515"/>
      <c r="I47" s="1515"/>
      <c r="J47" s="1457"/>
      <c r="R47" s="1350"/>
    </row>
    <row r="48" spans="1:18">
      <c r="A48" s="1457"/>
      <c r="B48" s="1515"/>
      <c r="C48" s="1515"/>
      <c r="D48" s="1515"/>
      <c r="E48" s="1515"/>
      <c r="F48" s="1515"/>
      <c r="G48" s="1515"/>
      <c r="H48" s="1515"/>
      <c r="I48" s="1515"/>
      <c r="J48" s="1457"/>
      <c r="R48" s="1350"/>
    </row>
    <row r="49" spans="1:11">
      <c r="A49" s="1457"/>
      <c r="B49" s="1462"/>
      <c r="C49" s="1457"/>
      <c r="D49" s="1457"/>
      <c r="E49" s="1457"/>
      <c r="F49" s="1457"/>
      <c r="G49" s="1457"/>
      <c r="H49" s="1457"/>
      <c r="I49" s="1457"/>
      <c r="J49" s="1457"/>
    </row>
    <row r="50" spans="1:11">
      <c r="A50" s="1461" t="s">
        <v>1030</v>
      </c>
      <c r="B50" s="1463" t="s">
        <v>1031</v>
      </c>
      <c r="C50" s="1463"/>
      <c r="D50" s="1463"/>
      <c r="E50" s="1463"/>
      <c r="F50" s="1463"/>
      <c r="G50" s="1463"/>
      <c r="H50" s="1457"/>
      <c r="I50" s="1457"/>
      <c r="J50" s="1457"/>
    </row>
    <row r="51" spans="1:11">
      <c r="A51" s="1457"/>
      <c r="B51" s="1462"/>
      <c r="C51" s="1457"/>
      <c r="D51" s="1457"/>
      <c r="E51" s="1457"/>
      <c r="F51" s="1457"/>
      <c r="G51" s="1457"/>
      <c r="H51" s="1457"/>
      <c r="I51" s="1457"/>
      <c r="J51" s="1457"/>
    </row>
    <row r="52" spans="1:11">
      <c r="A52" s="1457"/>
      <c r="B52" s="1462"/>
      <c r="C52" s="1457"/>
      <c r="D52" s="1457"/>
      <c r="E52" s="1457"/>
      <c r="F52" s="1457"/>
      <c r="G52" s="1457"/>
      <c r="H52" s="1457"/>
      <c r="I52" s="1457"/>
      <c r="J52" s="1457"/>
    </row>
    <row r="53" spans="1:11">
      <c r="A53" s="1456"/>
      <c r="B53" s="1456"/>
      <c r="C53" s="1456"/>
      <c r="D53" s="1456"/>
      <c r="E53" s="1456"/>
      <c r="F53" s="1456"/>
      <c r="G53" s="1456"/>
      <c r="H53" s="1456"/>
      <c r="I53" s="1456"/>
      <c r="J53" s="1456"/>
      <c r="K53" s="1394"/>
    </row>
    <row r="54" spans="1:11">
      <c r="A54" s="1394"/>
      <c r="B54" s="1394"/>
      <c r="C54" s="1394"/>
      <c r="D54" s="1394"/>
      <c r="E54" s="1394"/>
      <c r="F54" s="1394"/>
      <c r="G54" s="1394"/>
      <c r="H54" s="1394"/>
      <c r="I54" s="1394"/>
      <c r="J54" s="1394"/>
      <c r="K54" s="1394"/>
    </row>
    <row r="55" spans="1:11">
      <c r="D55" s="1394"/>
      <c r="E55" s="1394"/>
      <c r="F55" s="1394"/>
      <c r="G55" s="1394"/>
      <c r="H55" s="1394"/>
      <c r="I55" s="1394"/>
      <c r="J55" s="1394"/>
      <c r="K55" s="1394"/>
    </row>
    <row r="56" spans="1:11">
      <c r="A56" s="1394"/>
      <c r="B56" s="1394"/>
      <c r="C56" s="1394"/>
      <c r="D56" s="1394"/>
      <c r="E56" s="1394"/>
      <c r="F56" s="1394"/>
      <c r="G56" s="1394"/>
      <c r="H56" s="1394"/>
      <c r="I56" s="1394"/>
      <c r="J56" s="1394"/>
      <c r="K56" s="1394"/>
    </row>
    <row r="57" spans="1:11">
      <c r="A57" s="1394"/>
      <c r="B57" s="1394"/>
      <c r="C57" s="1394"/>
      <c r="D57" s="1394"/>
      <c r="E57" s="1394"/>
      <c r="F57" s="1394"/>
      <c r="G57" s="1394"/>
      <c r="H57" s="1394"/>
      <c r="I57" s="1394"/>
      <c r="J57" s="1394"/>
      <c r="K57" s="1394"/>
    </row>
    <row r="58" spans="1:11">
      <c r="A58" s="1394"/>
      <c r="B58" s="1394"/>
      <c r="C58" s="1394"/>
      <c r="D58" s="1394"/>
      <c r="E58" s="1394"/>
      <c r="F58" s="1394"/>
      <c r="G58" s="1394"/>
      <c r="H58" s="1394"/>
      <c r="I58" s="1394"/>
      <c r="J58" s="1394"/>
      <c r="K58" s="1394"/>
    </row>
    <row r="59" spans="1:11">
      <c r="A59" s="1394"/>
      <c r="B59" s="1394"/>
      <c r="C59" s="1394"/>
      <c r="D59" s="1394"/>
      <c r="E59" s="1394"/>
      <c r="F59" s="1394"/>
      <c r="G59" s="1394"/>
      <c r="H59" s="1394"/>
      <c r="I59" s="1394"/>
      <c r="J59" s="1394"/>
      <c r="K59" s="1394"/>
    </row>
    <row r="60" spans="1:11">
      <c r="A60" s="1394"/>
      <c r="B60" s="1394"/>
      <c r="C60" s="1394"/>
      <c r="D60" s="1394"/>
      <c r="E60" s="1394"/>
      <c r="F60" s="1394"/>
      <c r="G60" s="1394"/>
      <c r="H60" s="1394"/>
      <c r="I60" s="1394"/>
      <c r="J60" s="1394"/>
      <c r="K60" s="1394"/>
    </row>
    <row r="61" spans="1:11">
      <c r="A61" s="1394"/>
      <c r="B61" s="1394"/>
      <c r="C61" s="1394"/>
      <c r="D61" s="1394"/>
      <c r="E61" s="1394"/>
      <c r="F61" s="1394"/>
      <c r="G61" s="1394"/>
      <c r="H61" s="1394"/>
      <c r="I61" s="1394"/>
      <c r="J61" s="1394"/>
      <c r="K61" s="1394"/>
    </row>
    <row r="62" spans="1:11">
      <c r="A62" s="1394"/>
      <c r="B62" s="1394"/>
      <c r="C62" s="1394"/>
      <c r="D62" s="1394"/>
      <c r="E62" s="1394"/>
      <c r="F62" s="1394"/>
      <c r="G62" s="1394"/>
      <c r="H62" s="1394"/>
      <c r="I62" s="1394"/>
      <c r="J62" s="1394"/>
      <c r="K62" s="1394"/>
    </row>
    <row r="63" spans="1:11">
      <c r="A63" s="1394"/>
      <c r="B63" s="1394"/>
      <c r="C63" s="1394"/>
      <c r="D63" s="1394"/>
      <c r="E63" s="1394"/>
      <c r="F63" s="1394"/>
      <c r="G63" s="1394"/>
      <c r="H63" s="1394"/>
      <c r="I63" s="1394"/>
      <c r="J63" s="1394"/>
      <c r="K63" s="1394"/>
    </row>
    <row r="70" spans="1:11">
      <c r="B70" s="1385"/>
    </row>
    <row r="71" spans="1:11">
      <c r="B71" s="1396"/>
    </row>
    <row r="72" spans="1:11">
      <c r="B72" s="1396"/>
    </row>
    <row r="73" spans="1:11">
      <c r="B73" s="1396"/>
    </row>
    <row r="74" spans="1:11">
      <c r="B74" s="1396"/>
      <c r="D74" s="1399"/>
      <c r="E74" s="1399"/>
      <c r="F74" s="1399"/>
    </row>
    <row r="75" spans="1:11">
      <c r="A75" s="1400"/>
      <c r="B75" s="1394"/>
      <c r="C75" s="1394"/>
      <c r="D75" s="1394"/>
      <c r="E75" s="1394"/>
      <c r="F75" s="1394"/>
      <c r="G75" s="1394"/>
      <c r="H75" s="1394"/>
      <c r="I75" s="1394"/>
      <c r="J75" s="1394"/>
      <c r="K75" s="1394"/>
    </row>
    <row r="76" spans="1:11">
      <c r="A76" s="1394"/>
      <c r="B76" s="1394"/>
      <c r="C76" s="1394"/>
      <c r="D76" s="1394"/>
      <c r="E76" s="1394"/>
      <c r="F76" s="1394"/>
      <c r="G76" s="1394"/>
      <c r="H76" s="1394"/>
      <c r="I76" s="1394"/>
      <c r="J76" s="1394"/>
      <c r="K76" s="1394"/>
    </row>
    <row r="77" spans="1:11">
      <c r="A77" s="1394"/>
      <c r="B77" s="1394"/>
      <c r="C77" s="1394"/>
      <c r="D77" s="1394"/>
      <c r="E77" s="1394"/>
      <c r="F77" s="1394"/>
      <c r="G77" s="1394"/>
      <c r="H77" s="1394"/>
      <c r="I77" s="1394"/>
      <c r="J77" s="1394"/>
      <c r="K77" s="1394"/>
    </row>
    <row r="78" spans="1:11">
      <c r="A78" s="1394"/>
      <c r="B78" s="1394"/>
      <c r="C78" s="1394"/>
      <c r="D78" s="1394"/>
      <c r="E78" s="1394"/>
      <c r="F78" s="1394"/>
      <c r="G78" s="1394"/>
      <c r="H78" s="1394"/>
      <c r="I78" s="1394"/>
      <c r="J78" s="1394"/>
      <c r="K78" s="1394"/>
    </row>
    <row r="79" spans="1:11">
      <c r="A79" s="1394"/>
      <c r="B79" s="1394"/>
      <c r="C79" s="1394"/>
      <c r="D79" s="1401"/>
      <c r="E79" s="1401"/>
      <c r="F79" s="1401"/>
      <c r="G79" s="1394"/>
      <c r="H79" s="1394"/>
      <c r="I79" s="1394"/>
      <c r="J79" s="1394"/>
      <c r="K79" s="1394"/>
    </row>
    <row r="80" spans="1:11">
      <c r="A80" s="1394"/>
      <c r="B80" s="1394"/>
      <c r="C80" s="1394"/>
      <c r="D80" s="1397"/>
      <c r="E80" s="1397"/>
      <c r="F80" s="1397"/>
      <c r="G80" s="1394"/>
      <c r="H80" s="1394"/>
      <c r="I80" s="1394"/>
      <c r="J80" s="1394"/>
      <c r="K80" s="1394"/>
    </row>
    <row r="81" spans="1:11">
      <c r="A81" s="1394"/>
      <c r="B81" s="1394"/>
      <c r="C81" s="1394"/>
      <c r="D81" s="1401"/>
      <c r="E81" s="1401"/>
      <c r="F81" s="1401"/>
      <c r="G81" s="1394"/>
      <c r="H81" s="1394"/>
      <c r="I81" s="1394"/>
      <c r="J81" s="1394"/>
      <c r="K81" s="1394"/>
    </row>
    <row r="82" spans="1:11">
      <c r="A82" s="1394"/>
      <c r="B82" s="1394"/>
      <c r="C82" s="1394"/>
      <c r="D82" s="1394"/>
      <c r="E82" s="1394"/>
      <c r="F82" s="1394"/>
      <c r="G82" s="1394"/>
      <c r="H82" s="1394"/>
      <c r="I82" s="1394"/>
      <c r="J82" s="1394"/>
      <c r="K82" s="1394"/>
    </row>
    <row r="83" spans="1:11">
      <c r="A83" s="1394"/>
      <c r="B83" s="1394"/>
      <c r="C83" s="1394"/>
      <c r="D83" s="1394"/>
      <c r="E83" s="1394"/>
      <c r="F83" s="1394"/>
      <c r="G83" s="1394"/>
      <c r="H83" s="1394"/>
      <c r="I83" s="1394"/>
      <c r="J83" s="1394"/>
      <c r="K83" s="1394"/>
    </row>
    <row r="84" spans="1:11">
      <c r="A84" s="1394"/>
      <c r="B84" s="1394"/>
      <c r="C84" s="1394"/>
      <c r="D84" s="1394"/>
      <c r="E84" s="1394"/>
      <c r="F84" s="1394"/>
      <c r="G84" s="1394"/>
      <c r="H84" s="1394"/>
      <c r="I84" s="1394"/>
      <c r="J84" s="1394"/>
      <c r="K84" s="1394"/>
    </row>
    <row r="85" spans="1:11">
      <c r="A85" s="1394"/>
      <c r="C85" s="1394"/>
      <c r="D85" s="1394"/>
      <c r="E85" s="1394"/>
      <c r="F85" s="1394"/>
      <c r="G85" s="1394"/>
      <c r="H85" s="1394"/>
      <c r="I85" s="1394"/>
      <c r="J85" s="1394"/>
      <c r="K85" s="1394"/>
    </row>
    <row r="86" spans="1:11">
      <c r="A86" s="1394"/>
      <c r="B86" s="1394"/>
      <c r="C86" s="1394"/>
      <c r="D86" s="1394"/>
      <c r="E86" s="1394"/>
      <c r="F86" s="1394"/>
      <c r="G86" s="1394"/>
      <c r="H86" s="1394"/>
      <c r="I86" s="1394"/>
      <c r="J86" s="1394"/>
      <c r="K86" s="1394"/>
    </row>
    <row r="87" spans="1:11">
      <c r="A87" s="1394"/>
      <c r="B87" s="1394"/>
      <c r="C87" s="1394"/>
      <c r="D87" s="1394"/>
      <c r="E87" s="1394"/>
      <c r="F87" s="1394"/>
      <c r="G87" s="1394"/>
      <c r="H87" s="1394"/>
      <c r="I87" s="1394"/>
      <c r="J87" s="1394"/>
      <c r="K87" s="1394"/>
    </row>
  </sheetData>
  <mergeCells count="11">
    <mergeCell ref="R16:R17"/>
    <mergeCell ref="B27:C27"/>
    <mergeCell ref="B30:J35"/>
    <mergeCell ref="B39:J40"/>
    <mergeCell ref="B44:I45"/>
    <mergeCell ref="B47:I48"/>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47"/>
  <sheetViews>
    <sheetView workbookViewId="0">
      <selection activeCell="O5" sqref="O5"/>
    </sheetView>
  </sheetViews>
  <sheetFormatPr defaultColWidth="11.85546875" defaultRowHeight="12.75"/>
  <cols>
    <col min="1" max="1" width="9" style="1415" customWidth="1"/>
    <col min="2" max="2" width="15" style="1416" bestFit="1" customWidth="1"/>
    <col min="3" max="3" width="4.140625" style="1416" customWidth="1"/>
    <col min="4" max="4" width="21" style="1416" bestFit="1" customWidth="1"/>
    <col min="5" max="5" width="29.7109375" style="1416" bestFit="1" customWidth="1"/>
    <col min="6" max="6" width="21.42578125" style="1416" customWidth="1"/>
    <col min="7" max="7" width="2.7109375" style="1416" customWidth="1"/>
    <col min="8" max="8" width="16.7109375" style="1416" customWidth="1"/>
    <col min="9" max="9" width="2.42578125" style="1416" customWidth="1"/>
    <col min="10" max="10" width="17.42578125" style="1416" customWidth="1"/>
    <col min="11" max="11" width="3.5703125" style="1416" customWidth="1"/>
    <col min="12" max="12" width="20.5703125" style="1416" customWidth="1"/>
    <col min="13" max="13" width="16.7109375" style="1416" customWidth="1"/>
    <col min="14" max="14" width="3.5703125" style="1416" customWidth="1"/>
    <col min="15" max="15" width="19.42578125" style="1416" bestFit="1" customWidth="1"/>
    <col min="16" max="16" width="16" style="1419" bestFit="1" customWidth="1"/>
    <col min="17" max="17" width="15.28515625" style="1416" bestFit="1" customWidth="1"/>
    <col min="18" max="16384" width="11.85546875" style="1416"/>
  </cols>
  <sheetData>
    <row r="1" spans="1:18" ht="15">
      <c r="A1" s="1415" t="s">
        <v>985</v>
      </c>
      <c r="L1" s="1417"/>
      <c r="M1" s="1417"/>
      <c r="O1" s="1418" t="s">
        <v>986</v>
      </c>
    </row>
    <row r="2" spans="1:18">
      <c r="A2" s="1420" t="s">
        <v>987</v>
      </c>
      <c r="O2" s="1421" t="s">
        <v>988</v>
      </c>
    </row>
    <row r="3" spans="1:18">
      <c r="A3" s="1415" t="s">
        <v>989</v>
      </c>
      <c r="O3" s="1421" t="s">
        <v>990</v>
      </c>
    </row>
    <row r="4" spans="1:18">
      <c r="A4" s="1415" t="s">
        <v>991</v>
      </c>
      <c r="O4" s="1418" t="s">
        <v>992</v>
      </c>
    </row>
    <row r="5" spans="1:18">
      <c r="A5" s="1415" t="s">
        <v>993</v>
      </c>
    </row>
    <row r="6" spans="1:18">
      <c r="A6" s="1415" t="s">
        <v>897</v>
      </c>
    </row>
    <row r="7" spans="1:18">
      <c r="A7" s="1524" t="s">
        <v>994</v>
      </c>
      <c r="B7" s="1524"/>
      <c r="C7" s="1524"/>
      <c r="D7" s="1524"/>
      <c r="E7" s="1524"/>
      <c r="F7" s="1524"/>
      <c r="G7" s="1524"/>
      <c r="H7" s="1524"/>
      <c r="I7" s="1524"/>
      <c r="J7" s="1524"/>
      <c r="K7" s="1524"/>
      <c r="L7" s="1524"/>
      <c r="M7" s="1422"/>
      <c r="N7" s="1423"/>
      <c r="O7" s="1423"/>
    </row>
    <row r="9" spans="1:18">
      <c r="A9" s="1424" t="s">
        <v>448</v>
      </c>
      <c r="B9" s="1425" t="s">
        <v>449</v>
      </c>
      <c r="C9" s="1425"/>
      <c r="D9" s="1425" t="s">
        <v>450</v>
      </c>
      <c r="E9" s="1425" t="s">
        <v>451</v>
      </c>
      <c r="F9" s="1425" t="s">
        <v>452</v>
      </c>
      <c r="G9" s="1425"/>
      <c r="H9" s="1425" t="s">
        <v>995</v>
      </c>
      <c r="I9" s="1425"/>
      <c r="J9" s="1425" t="s">
        <v>454</v>
      </c>
      <c r="K9" s="1425"/>
      <c r="L9" s="1425" t="s">
        <v>996</v>
      </c>
      <c r="M9" s="1425" t="s">
        <v>456</v>
      </c>
      <c r="N9" s="1425"/>
      <c r="O9" s="1425" t="s">
        <v>997</v>
      </c>
      <c r="R9" s="1525"/>
    </row>
    <row r="10" spans="1:18">
      <c r="A10" s="1426"/>
      <c r="F10" s="1427"/>
      <c r="G10" s="1427"/>
      <c r="H10" s="1427"/>
      <c r="R10" s="1525"/>
    </row>
    <row r="11" spans="1:18" ht="38.25">
      <c r="A11" s="1426" t="s">
        <v>998</v>
      </c>
      <c r="B11" s="1416" t="s">
        <v>999</v>
      </c>
      <c r="D11" s="1428" t="s">
        <v>1000</v>
      </c>
      <c r="E11" s="1425" t="s">
        <v>910</v>
      </c>
      <c r="F11" s="1429" t="s">
        <v>1001</v>
      </c>
      <c r="G11" s="1429"/>
      <c r="H11" s="1429" t="s">
        <v>1002</v>
      </c>
      <c r="I11" s="1430"/>
      <c r="J11" s="1429" t="s">
        <v>1003</v>
      </c>
      <c r="K11" s="1431"/>
      <c r="L11" s="1429" t="s">
        <v>1004</v>
      </c>
      <c r="M11" s="1429" t="s">
        <v>1005</v>
      </c>
      <c r="O11" s="1428" t="s">
        <v>1006</v>
      </c>
    </row>
    <row r="12" spans="1:18">
      <c r="D12" s="1419"/>
      <c r="E12" s="1419"/>
      <c r="F12" s="1419"/>
      <c r="G12" s="1419"/>
      <c r="H12" s="1419"/>
      <c r="I12" s="1419"/>
      <c r="J12" s="1419"/>
      <c r="K12" s="1419"/>
      <c r="L12" s="1432"/>
      <c r="M12" s="1432"/>
      <c r="N12" s="1419"/>
      <c r="O12" s="1419"/>
    </row>
    <row r="13" spans="1:18">
      <c r="A13" s="1424" t="s">
        <v>1007</v>
      </c>
      <c r="B13" s="1433" t="s">
        <v>1008</v>
      </c>
      <c r="D13" s="1419">
        <v>9916884</v>
      </c>
      <c r="E13" s="1419" t="s">
        <v>1009</v>
      </c>
      <c r="F13" s="1432">
        <v>3966092.89</v>
      </c>
      <c r="G13" s="1434"/>
      <c r="H13" s="1435">
        <f>+F13/D13</f>
        <v>0.39993337524165856</v>
      </c>
      <c r="I13" s="1436"/>
      <c r="J13" s="1432">
        <f>-F13</f>
        <v>-3966092.89</v>
      </c>
      <c r="K13" s="1419"/>
      <c r="L13" s="1432">
        <f>+F13+J13</f>
        <v>0</v>
      </c>
      <c r="M13" s="1432"/>
      <c r="N13" s="1419"/>
      <c r="O13" s="1419">
        <f>+D13-L13</f>
        <v>9916884</v>
      </c>
    </row>
    <row r="14" spans="1:18">
      <c r="A14" s="1426"/>
      <c r="B14" s="1433"/>
      <c r="D14" s="1419"/>
      <c r="E14" s="1419"/>
      <c r="F14" s="1437"/>
      <c r="G14" s="1438"/>
      <c r="H14" s="1435"/>
      <c r="I14" s="1436"/>
      <c r="J14" s="1432"/>
      <c r="K14" s="1419"/>
      <c r="L14" s="1432"/>
      <c r="M14" s="1432"/>
      <c r="N14" s="1419"/>
      <c r="O14" s="1419"/>
    </row>
    <row r="15" spans="1:18" ht="15">
      <c r="A15" s="1439">
        <f>+A13+1</f>
        <v>2</v>
      </c>
      <c r="B15" s="1433" t="s">
        <v>1010</v>
      </c>
      <c r="D15" s="1419">
        <v>-259292066</v>
      </c>
      <c r="E15" s="1419" t="s">
        <v>1011</v>
      </c>
      <c r="F15" s="1432">
        <v>-103716826.31</v>
      </c>
      <c r="G15" s="1438"/>
      <c r="H15" s="1435">
        <f>+F15/D15</f>
        <v>0.39999999965290106</v>
      </c>
      <c r="I15" s="1440"/>
      <c r="J15" s="1432">
        <v>0</v>
      </c>
      <c r="K15" s="1419"/>
      <c r="L15" s="1432">
        <f>+F15-L16</f>
        <v>-106249253.31</v>
      </c>
      <c r="M15" s="1432" t="s">
        <v>921</v>
      </c>
      <c r="N15" s="1419"/>
      <c r="O15" s="1441">
        <f>+D15-L15-L16</f>
        <v>-155575239.69</v>
      </c>
      <c r="P15" s="1442"/>
      <c r="Q15" s="1442"/>
    </row>
    <row r="16" spans="1:18" ht="15">
      <c r="A16" s="1426"/>
      <c r="B16" s="1433"/>
      <c r="D16" s="1419"/>
      <c r="E16" s="1419"/>
      <c r="F16" s="1443"/>
      <c r="G16" s="1444"/>
      <c r="H16" s="1444"/>
      <c r="I16" s="1440"/>
      <c r="J16" s="1432"/>
      <c r="K16" s="1419"/>
      <c r="L16" s="1432">
        <v>2532427</v>
      </c>
      <c r="M16" s="1432" t="s">
        <v>925</v>
      </c>
      <c r="N16" s="1419"/>
      <c r="O16" s="1441"/>
      <c r="P16" s="1442"/>
      <c r="Q16" s="1442"/>
    </row>
    <row r="17" spans="1:17" ht="15">
      <c r="A17" s="1426"/>
      <c r="B17" s="1433"/>
      <c r="D17" s="1419"/>
      <c r="E17" s="1419"/>
      <c r="F17" s="1443"/>
      <c r="G17" s="1444"/>
      <c r="H17" s="1444"/>
      <c r="I17" s="1440"/>
      <c r="J17" s="1432"/>
      <c r="K17" s="1419"/>
      <c r="L17" s="1432"/>
      <c r="M17" s="1432"/>
      <c r="N17" s="1419"/>
      <c r="O17" s="1441"/>
      <c r="P17" s="1442"/>
      <c r="Q17" s="1442"/>
    </row>
    <row r="18" spans="1:17" ht="15">
      <c r="A18" s="1439">
        <f>+A15+1</f>
        <v>3</v>
      </c>
      <c r="B18" s="1433" t="s">
        <v>1012</v>
      </c>
      <c r="D18" s="1419">
        <v>0</v>
      </c>
      <c r="E18" s="1419" t="s">
        <v>1013</v>
      </c>
      <c r="F18" s="1432">
        <v>0</v>
      </c>
      <c r="G18" s="1438"/>
      <c r="H18" s="1445" t="s">
        <v>916</v>
      </c>
      <c r="I18" s="1446"/>
      <c r="J18" s="1432">
        <f>-J13-J15</f>
        <v>3966092.89</v>
      </c>
      <c r="K18" s="1419"/>
      <c r="L18" s="1432">
        <f>+F18+J18</f>
        <v>3966092.89</v>
      </c>
      <c r="M18" s="1432" t="s">
        <v>925</v>
      </c>
      <c r="N18" s="1419"/>
      <c r="O18" s="1441">
        <f>+D18-L18</f>
        <v>-3966092.89</v>
      </c>
      <c r="P18" s="1442"/>
      <c r="Q18" s="1442"/>
    </row>
    <row r="19" spans="1:17">
      <c r="B19" s="1433"/>
      <c r="E19" s="1419"/>
      <c r="F19" s="1432"/>
      <c r="G19" s="1438"/>
      <c r="H19" s="1438"/>
      <c r="I19" s="1432"/>
      <c r="J19" s="1432"/>
      <c r="K19" s="1419"/>
      <c r="L19" s="1432"/>
      <c r="M19" s="1432"/>
      <c r="N19" s="1419"/>
      <c r="O19" s="1419"/>
    </row>
    <row r="20" spans="1:17" ht="15">
      <c r="A20" s="1439">
        <f>+A18+1</f>
        <v>4</v>
      </c>
      <c r="B20" s="1416" t="s">
        <v>420</v>
      </c>
      <c r="D20" s="1447">
        <f>+D18+D15+D13</f>
        <v>-249375182</v>
      </c>
      <c r="E20" s="1419"/>
      <c r="F20" s="1447">
        <f>SUM(F13:F16)</f>
        <v>-99750733.420000002</v>
      </c>
      <c r="G20" s="1442"/>
      <c r="H20" s="1442"/>
      <c r="J20" s="1447">
        <f>SUM(J13:J18)</f>
        <v>0</v>
      </c>
      <c r="K20" s="1419"/>
      <c r="L20" s="1448">
        <f>SUM(L13:L18)</f>
        <v>-99750733.420000002</v>
      </c>
      <c r="M20" s="1449"/>
      <c r="N20" s="1419"/>
      <c r="O20" s="1448">
        <f>SUM(O13:O18)</f>
        <v>-149624448.57999998</v>
      </c>
      <c r="P20" s="1450"/>
    </row>
    <row r="21" spans="1:17">
      <c r="D21" s="1419"/>
      <c r="E21" s="1419"/>
      <c r="F21" s="1451"/>
      <c r="G21" s="1451"/>
      <c r="H21" s="1451"/>
      <c r="I21" s="1419"/>
      <c r="J21" s="1419"/>
      <c r="K21" s="1419"/>
      <c r="L21" s="1432"/>
      <c r="M21" s="1432"/>
      <c r="N21" s="1419"/>
      <c r="O21" s="1419"/>
    </row>
    <row r="22" spans="1:17" ht="15">
      <c r="A22" s="1416"/>
      <c r="F22" s="1442"/>
      <c r="I22" s="1419"/>
      <c r="J22" s="1419"/>
      <c r="K22" s="1419"/>
      <c r="N22" s="1419"/>
      <c r="O22" s="1441"/>
    </row>
    <row r="23" spans="1:17">
      <c r="O23" s="1452"/>
    </row>
    <row r="24" spans="1:17" ht="12.6" customHeight="1">
      <c r="A24" s="1526" t="s">
        <v>1014</v>
      </c>
      <c r="B24" s="1526"/>
      <c r="C24" s="1526"/>
      <c r="D24" s="1526"/>
      <c r="E24" s="1526"/>
      <c r="F24" s="1526"/>
      <c r="G24" s="1526"/>
      <c r="H24" s="1526"/>
      <c r="I24" s="1526"/>
      <c r="J24" s="1453"/>
    </row>
    <row r="25" spans="1:17">
      <c r="A25" s="1526"/>
      <c r="B25" s="1526"/>
      <c r="C25" s="1526"/>
      <c r="D25" s="1526"/>
      <c r="E25" s="1526"/>
      <c r="F25" s="1526"/>
      <c r="G25" s="1526"/>
      <c r="H25" s="1526"/>
      <c r="I25" s="1526"/>
      <c r="J25" s="1453"/>
    </row>
    <row r="26" spans="1:17">
      <c r="A26" s="1526"/>
      <c r="B26" s="1526"/>
      <c r="C26" s="1526"/>
      <c r="D26" s="1526"/>
      <c r="E26" s="1526"/>
      <c r="F26" s="1526"/>
      <c r="G26" s="1526"/>
      <c r="H26" s="1526"/>
      <c r="I26" s="1526"/>
      <c r="J26" s="1453"/>
    </row>
    <row r="27" spans="1:17">
      <c r="A27" s="1426"/>
      <c r="B27" s="1453"/>
      <c r="C27" s="1453"/>
      <c r="D27" s="1453"/>
      <c r="E27" s="1453"/>
      <c r="F27" s="1453"/>
      <c r="G27" s="1453"/>
      <c r="H27" s="1453"/>
      <c r="J27" s="1453"/>
    </row>
    <row r="28" spans="1:17" ht="12.75" customHeight="1">
      <c r="A28" s="1454" t="s">
        <v>1015</v>
      </c>
      <c r="B28" s="1527" t="s">
        <v>1016</v>
      </c>
      <c r="C28" s="1527"/>
      <c r="D28" s="1527"/>
      <c r="E28" s="1527"/>
      <c r="F28" s="1527"/>
      <c r="G28" s="1527"/>
      <c r="H28" s="1527"/>
      <c r="I28" s="1527"/>
      <c r="J28" s="1527"/>
      <c r="K28" s="1527"/>
    </row>
    <row r="29" spans="1:17">
      <c r="A29" s="1416"/>
      <c r="B29" s="1527"/>
      <c r="C29" s="1527"/>
      <c r="D29" s="1527"/>
      <c r="E29" s="1527"/>
      <c r="F29" s="1527"/>
      <c r="G29" s="1527"/>
      <c r="H29" s="1527"/>
      <c r="I29" s="1527"/>
      <c r="J29" s="1527"/>
      <c r="K29" s="1527"/>
    </row>
    <row r="30" spans="1:17">
      <c r="A30" s="1426"/>
      <c r="B30" s="1527"/>
      <c r="C30" s="1527"/>
      <c r="D30" s="1527"/>
      <c r="E30" s="1527"/>
      <c r="F30" s="1527"/>
      <c r="G30" s="1527"/>
      <c r="H30" s="1527"/>
      <c r="I30" s="1527"/>
      <c r="J30" s="1527"/>
      <c r="K30" s="1527"/>
    </row>
    <row r="31" spans="1:17" ht="12.6" customHeight="1">
      <c r="A31" s="1416"/>
      <c r="J31" s="1419"/>
    </row>
    <row r="32" spans="1:17" ht="15">
      <c r="A32" s="1426" t="s">
        <v>1017</v>
      </c>
      <c r="B32" s="1528" t="s">
        <v>1018</v>
      </c>
      <c r="C32" s="1528"/>
      <c r="D32" s="1528"/>
      <c r="E32" s="1528"/>
      <c r="F32" s="1528"/>
      <c r="G32" s="1528"/>
      <c r="H32" s="1528"/>
      <c r="J32" s="1419"/>
      <c r="K32" s="1442"/>
      <c r="L32" s="1442"/>
      <c r="M32" s="1442"/>
      <c r="N32" s="1442"/>
      <c r="O32" s="1442"/>
    </row>
    <row r="33" spans="1:15" ht="15">
      <c r="A33" s="1426"/>
      <c r="B33" s="1528"/>
      <c r="C33" s="1528"/>
      <c r="D33" s="1528"/>
      <c r="E33" s="1528"/>
      <c r="F33" s="1528"/>
      <c r="G33" s="1528"/>
      <c r="H33" s="1528"/>
      <c r="J33" s="1442"/>
      <c r="K33" s="1442"/>
      <c r="L33" s="1442"/>
      <c r="M33" s="1442"/>
      <c r="N33" s="1442"/>
      <c r="O33" s="1442"/>
    </row>
    <row r="34" spans="1:15" ht="15" customHeight="1">
      <c r="A34" s="1416"/>
      <c r="J34" s="1442"/>
      <c r="K34" s="1442"/>
      <c r="L34" s="1442"/>
      <c r="M34" s="1442"/>
      <c r="N34" s="1442"/>
      <c r="O34" s="1442"/>
    </row>
    <row r="35" spans="1:15" ht="15">
      <c r="A35" s="1426" t="s">
        <v>1019</v>
      </c>
      <c r="B35" s="1529" t="s">
        <v>1020</v>
      </c>
      <c r="C35" s="1529"/>
      <c r="D35" s="1529"/>
      <c r="E35" s="1529"/>
      <c r="F35" s="1529"/>
      <c r="G35" s="1529"/>
      <c r="H35" s="1529"/>
      <c r="I35" s="1529"/>
      <c r="J35" s="1442"/>
      <c r="K35" s="1442"/>
      <c r="L35" s="1442"/>
      <c r="M35" s="1442"/>
      <c r="N35" s="1442"/>
      <c r="O35" s="1442"/>
    </row>
    <row r="36" spans="1:15" ht="15">
      <c r="A36" s="1426"/>
      <c r="B36" s="1529"/>
      <c r="C36" s="1529"/>
      <c r="D36" s="1529"/>
      <c r="E36" s="1529"/>
      <c r="F36" s="1529"/>
      <c r="G36" s="1529"/>
      <c r="H36" s="1529"/>
      <c r="I36" s="1529"/>
      <c r="J36" s="1442"/>
      <c r="K36" s="1442"/>
      <c r="L36" s="1442"/>
      <c r="M36" s="1442"/>
      <c r="N36" s="1442"/>
      <c r="O36" s="1442"/>
    </row>
    <row r="37" spans="1:15" ht="15">
      <c r="A37" s="1442"/>
      <c r="B37" s="1442"/>
      <c r="C37" s="1442"/>
      <c r="D37" s="1442"/>
      <c r="E37" s="1442"/>
      <c r="F37" s="1442"/>
      <c r="G37" s="1442"/>
      <c r="H37" s="1442"/>
      <c r="I37" s="1442"/>
      <c r="J37" s="1442"/>
      <c r="K37" s="1442"/>
      <c r="L37" s="1442"/>
      <c r="M37" s="1442"/>
      <c r="N37" s="1442"/>
      <c r="O37" s="1442"/>
    </row>
    <row r="38" spans="1:15" ht="15" customHeight="1">
      <c r="A38" s="1426" t="s">
        <v>1021</v>
      </c>
      <c r="B38" s="1523" t="s">
        <v>1022</v>
      </c>
      <c r="C38" s="1523"/>
      <c r="D38" s="1523"/>
      <c r="E38" s="1523"/>
      <c r="F38" s="1523"/>
      <c r="G38" s="1523"/>
      <c r="H38" s="1523"/>
      <c r="I38" s="1523"/>
      <c r="J38" s="1523"/>
      <c r="K38" s="1523"/>
      <c r="L38" s="1523"/>
      <c r="M38" s="1442"/>
      <c r="N38" s="1442"/>
      <c r="O38" s="1442"/>
    </row>
    <row r="39" spans="1:15" ht="15">
      <c r="A39" s="1426"/>
      <c r="B39" s="1523"/>
      <c r="C39" s="1523"/>
      <c r="D39" s="1523"/>
      <c r="E39" s="1523"/>
      <c r="F39" s="1523"/>
      <c r="G39" s="1523"/>
      <c r="H39" s="1523"/>
      <c r="I39" s="1523"/>
      <c r="J39" s="1523"/>
      <c r="K39" s="1523"/>
      <c r="L39" s="1523"/>
      <c r="M39" s="1442"/>
      <c r="N39" s="1442"/>
      <c r="O39" s="1442"/>
    </row>
    <row r="40" spans="1:15" ht="15">
      <c r="A40" s="1442"/>
      <c r="B40" s="1442"/>
      <c r="C40" s="1442"/>
      <c r="D40" s="1442"/>
      <c r="E40" s="1442"/>
      <c r="F40" s="1442"/>
      <c r="G40" s="1455"/>
      <c r="H40" s="1455"/>
      <c r="I40" s="1455"/>
      <c r="J40" s="1442"/>
      <c r="K40" s="1442"/>
      <c r="L40" s="1442"/>
      <c r="M40" s="1442"/>
      <c r="N40" s="1442"/>
      <c r="O40" s="1442"/>
    </row>
    <row r="41" spans="1:15" ht="15">
      <c r="A41" s="1442"/>
      <c r="B41" s="1442"/>
      <c r="C41" s="1442"/>
      <c r="D41" s="1442"/>
      <c r="E41" s="1442"/>
      <c r="F41" s="1442"/>
      <c r="G41" s="1455"/>
      <c r="H41" s="1455"/>
      <c r="I41" s="1455"/>
      <c r="J41" s="1442"/>
      <c r="K41" s="1442"/>
      <c r="L41" s="1442"/>
      <c r="M41" s="1442"/>
      <c r="N41" s="1442"/>
      <c r="O41" s="1442"/>
    </row>
    <row r="42" spans="1:15" ht="15">
      <c r="A42" s="1442"/>
      <c r="B42" s="1442"/>
      <c r="C42" s="1442"/>
      <c r="D42" s="1442"/>
      <c r="E42" s="1442"/>
      <c r="F42" s="1442"/>
      <c r="G42" s="1455"/>
      <c r="H42" s="1455"/>
      <c r="I42" s="1455"/>
      <c r="J42" s="1442"/>
      <c r="K42" s="1442"/>
      <c r="L42" s="1442"/>
      <c r="M42" s="1442"/>
      <c r="N42" s="1442"/>
      <c r="O42" s="1442"/>
    </row>
    <row r="43" spans="1:15" ht="15">
      <c r="A43" s="1442"/>
      <c r="B43" s="1442"/>
      <c r="C43" s="1442"/>
      <c r="D43" s="1442"/>
      <c r="E43" s="1442"/>
      <c r="F43" s="1442"/>
      <c r="G43" s="1455"/>
      <c r="H43" s="1455"/>
      <c r="I43" s="1455"/>
      <c r="J43" s="1442"/>
      <c r="K43" s="1442"/>
      <c r="L43" s="1442"/>
      <c r="M43" s="1442"/>
      <c r="N43" s="1442"/>
      <c r="O43" s="1442"/>
    </row>
    <row r="44" spans="1:15" ht="15">
      <c r="D44" s="1455"/>
      <c r="E44" s="1455"/>
      <c r="F44" s="1455"/>
      <c r="G44" s="1455"/>
      <c r="H44" s="1455"/>
      <c r="I44" s="1455"/>
      <c r="J44" s="1442"/>
      <c r="K44" s="1442"/>
      <c r="L44" s="1442"/>
      <c r="M44" s="1442"/>
      <c r="N44" s="1442"/>
      <c r="O44" s="1442"/>
    </row>
    <row r="45" spans="1:15" ht="15">
      <c r="D45" s="1455"/>
      <c r="E45" s="1455"/>
      <c r="F45" s="1455"/>
      <c r="G45" s="1455"/>
      <c r="H45" s="1455"/>
      <c r="I45" s="1455"/>
      <c r="J45" s="1442"/>
      <c r="K45" s="1442"/>
      <c r="L45" s="1442"/>
      <c r="M45" s="1442"/>
      <c r="N45" s="1442"/>
      <c r="O45" s="1442"/>
    </row>
    <row r="46" spans="1:15" ht="15">
      <c r="D46" s="1455"/>
      <c r="E46" s="1455"/>
      <c r="F46" s="1455"/>
      <c r="G46" s="1455"/>
      <c r="H46" s="1455"/>
      <c r="I46" s="1455"/>
      <c r="J46" s="1442"/>
      <c r="K46" s="1442"/>
      <c r="L46" s="1442"/>
      <c r="M46" s="1442"/>
      <c r="N46" s="1442"/>
      <c r="O46" s="1442"/>
    </row>
    <row r="47" spans="1:15" ht="15">
      <c r="J47" s="1442"/>
      <c r="K47" s="1442"/>
      <c r="L47" s="1442"/>
      <c r="M47" s="1442"/>
      <c r="N47" s="1442"/>
      <c r="O47" s="1442"/>
    </row>
  </sheetData>
  <mergeCells count="7">
    <mergeCell ref="B38:L39"/>
    <mergeCell ref="A7:L7"/>
    <mergeCell ref="R9:R10"/>
    <mergeCell ref="A24:I26"/>
    <mergeCell ref="B28:K30"/>
    <mergeCell ref="B32:H33"/>
    <mergeCell ref="B35:I36"/>
  </mergeCells>
  <pageMargins left="0.7" right="0.7" top="0.75" bottom="0.75" header="0.3" footer="0.3"/>
  <pageSetup scale="67" orientation="landscape"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O105"/>
  <sheetViews>
    <sheetView view="pageBreakPreview" topLeftCell="A31" zoomScale="85" zoomScaleNormal="75" zoomScaleSheetLayoutView="85" workbookViewId="0">
      <selection activeCell="E18" sqref="E18"/>
    </sheetView>
  </sheetViews>
  <sheetFormatPr defaultColWidth="11.42578125" defaultRowHeight="12.75"/>
  <cols>
    <col min="1" max="1" width="8.140625" style="421" customWidth="1"/>
    <col min="2" max="2" width="12.140625" style="419" customWidth="1"/>
    <col min="3" max="3" width="41.7109375" style="419" customWidth="1"/>
    <col min="4" max="4" width="30" style="419" customWidth="1"/>
    <col min="5" max="5" width="22.140625" style="424" customWidth="1"/>
    <col min="6" max="6" width="1" style="424" customWidth="1"/>
    <col min="7" max="7" width="20.85546875" style="419" customWidth="1"/>
    <col min="8" max="8" width="1" style="419" customWidth="1"/>
    <col min="9" max="9" width="19.140625" style="419" customWidth="1"/>
    <col min="10" max="10" width="16.7109375" style="419" customWidth="1"/>
    <col min="11" max="11" width="15.28515625" style="419" customWidth="1"/>
    <col min="12" max="12" width="34" style="419" customWidth="1"/>
    <col min="13" max="13" width="21.28515625" style="419" customWidth="1"/>
    <col min="14" max="14" width="13.42578125" style="419" customWidth="1"/>
    <col min="15" max="15" width="13.7109375" style="419" customWidth="1"/>
    <col min="16" max="16384" width="11.42578125" style="419"/>
  </cols>
  <sheetData>
    <row r="1" spans="1:15" ht="15.75">
      <c r="A1" s="1000" t="s">
        <v>416</v>
      </c>
    </row>
    <row r="2" spans="1:15" ht="15.75">
      <c r="A2" s="1000" t="s">
        <v>416</v>
      </c>
    </row>
    <row r="3" spans="1:15"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418"/>
      <c r="N3" s="418"/>
      <c r="O3" s="418"/>
    </row>
    <row r="4" spans="1:15"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438"/>
      <c r="N4" s="438"/>
      <c r="O4" s="438"/>
    </row>
    <row r="5" spans="1:15" ht="15">
      <c r="A5" s="1532" t="s">
        <v>293</v>
      </c>
      <c r="B5" s="1532"/>
      <c r="C5" s="1532"/>
      <c r="D5" s="1532"/>
      <c r="E5" s="1532"/>
      <c r="F5" s="1532"/>
      <c r="G5" s="1532"/>
      <c r="H5" s="1532"/>
      <c r="I5" s="1532"/>
      <c r="J5" s="1532"/>
      <c r="K5" s="1532"/>
      <c r="L5" s="1532"/>
      <c r="M5" s="420"/>
      <c r="N5" s="420"/>
      <c r="O5" s="420"/>
    </row>
    <row r="6" spans="1:15" ht="15">
      <c r="A6" s="1533" t="str">
        <f>TCOS!F9</f>
        <v>AEP Indiana Michigan Transmission Company</v>
      </c>
      <c r="B6" s="1533"/>
      <c r="C6" s="1533"/>
      <c r="D6" s="1533"/>
      <c r="E6" s="1533"/>
      <c r="F6" s="1533"/>
      <c r="G6" s="1533"/>
      <c r="H6" s="1533"/>
      <c r="I6" s="1533"/>
      <c r="J6" s="1533"/>
      <c r="K6" s="1533"/>
      <c r="L6" s="1533"/>
      <c r="M6" s="169"/>
      <c r="N6" s="169"/>
      <c r="O6" s="169"/>
    </row>
    <row r="7" spans="1:15" ht="15">
      <c r="A7" s="169"/>
      <c r="B7" s="169"/>
      <c r="C7" s="169"/>
      <c r="D7" s="169"/>
      <c r="E7" s="169"/>
      <c r="F7" s="169"/>
      <c r="G7" s="169"/>
      <c r="H7" s="439"/>
      <c r="I7" s="434"/>
      <c r="J7" s="434"/>
      <c r="K7" s="434"/>
      <c r="L7" s="434"/>
      <c r="M7" s="434"/>
      <c r="N7" s="434"/>
      <c r="O7" s="434"/>
    </row>
    <row r="8" spans="1:15" ht="12.75" customHeight="1">
      <c r="A8" s="440"/>
      <c r="B8" s="440" t="s">
        <v>462</v>
      </c>
      <c r="C8" s="440" t="s">
        <v>463</v>
      </c>
      <c r="D8" s="441" t="s">
        <v>333</v>
      </c>
      <c r="E8" s="441" t="s">
        <v>465</v>
      </c>
      <c r="F8" s="440"/>
      <c r="G8" s="440" t="s">
        <v>385</v>
      </c>
      <c r="H8" s="440"/>
      <c r="I8" s="440" t="s">
        <v>386</v>
      </c>
      <c r="J8" s="440" t="s">
        <v>387</v>
      </c>
      <c r="K8" s="440" t="s">
        <v>392</v>
      </c>
      <c r="L8" s="440" t="s">
        <v>298</v>
      </c>
      <c r="M8" s="440"/>
      <c r="N8" s="440"/>
      <c r="O8" s="440"/>
    </row>
    <row r="9" spans="1:15">
      <c r="A9" s="435"/>
    </row>
    <row r="10" spans="1:15" ht="18">
      <c r="A10" s="426"/>
      <c r="B10" s="1531" t="s">
        <v>499</v>
      </c>
      <c r="C10" s="1531"/>
      <c r="D10" s="1531"/>
      <c r="E10" s="1531"/>
      <c r="F10" s="1531"/>
      <c r="G10" s="1531"/>
      <c r="H10" s="1531"/>
      <c r="I10" s="1531"/>
      <c r="J10" s="1531"/>
      <c r="K10" s="1531"/>
      <c r="O10" s="424"/>
    </row>
    <row r="11" spans="1:15">
      <c r="A11" s="426"/>
      <c r="I11" s="156"/>
      <c r="J11" s="156"/>
      <c r="O11" s="424"/>
    </row>
    <row r="12" spans="1:15" ht="12.75" customHeight="1">
      <c r="A12" s="422" t="s">
        <v>469</v>
      </c>
      <c r="B12" s="430"/>
      <c r="C12" s="442"/>
      <c r="D12" s="443"/>
      <c r="E12" s="1535" t="str">
        <f>"Balance @ December 31, "&amp;TCOS!L4&amp;""</f>
        <v>Balance @ December 31, 2021</v>
      </c>
      <c r="F12" s="443"/>
      <c r="G12" s="1535" t="str">
        <f>"Balance @ December 31, "&amp;TCOS!L4-1&amp;""</f>
        <v>Balance @ December 31, 2020</v>
      </c>
      <c r="H12" s="444"/>
      <c r="I12" s="1537" t="str">
        <f>"Average Balance for "&amp;TCOS!L4&amp;""</f>
        <v>Average Balance for 2021</v>
      </c>
      <c r="J12" s="423"/>
      <c r="K12" s="427"/>
      <c r="L12" s="445"/>
      <c r="M12" s="427"/>
      <c r="N12" s="427"/>
      <c r="O12" s="424"/>
    </row>
    <row r="13" spans="1:15">
      <c r="A13" s="422" t="s">
        <v>407</v>
      </c>
      <c r="B13" s="428"/>
      <c r="C13" s="430"/>
      <c r="D13" s="446" t="s">
        <v>498</v>
      </c>
      <c r="E13" s="1536"/>
      <c r="F13" s="447"/>
      <c r="G13" s="1536"/>
      <c r="H13" s="448"/>
      <c r="I13" s="1538"/>
      <c r="J13" s="423"/>
      <c r="K13" s="449"/>
      <c r="L13" s="450"/>
      <c r="M13" s="425"/>
      <c r="N13" s="425"/>
    </row>
    <row r="14" spans="1:15">
      <c r="A14" s="428"/>
      <c r="B14" s="428"/>
      <c r="C14" s="430"/>
      <c r="D14" s="451"/>
      <c r="E14" s="433"/>
      <c r="F14" s="433"/>
      <c r="G14" s="452"/>
      <c r="H14" s="432"/>
      <c r="J14" s="156"/>
      <c r="K14" s="449"/>
      <c r="L14" s="450"/>
      <c r="M14" s="425"/>
      <c r="N14" s="425"/>
    </row>
    <row r="15" spans="1:15">
      <c r="A15" s="428">
        <v>1</v>
      </c>
      <c r="B15" s="428"/>
      <c r="D15" s="453"/>
      <c r="E15" s="454"/>
      <c r="F15" s="433"/>
      <c r="G15" s="454"/>
      <c r="H15" s="454"/>
      <c r="I15" s="454"/>
      <c r="K15" s="454"/>
      <c r="L15" s="454"/>
      <c r="M15" s="425"/>
      <c r="N15" s="425"/>
    </row>
    <row r="16" spans="1:15">
      <c r="A16" s="428"/>
      <c r="B16" s="428"/>
      <c r="C16" s="453"/>
      <c r="D16" s="453"/>
      <c r="E16" s="454"/>
      <c r="F16" s="433"/>
      <c r="G16" s="454"/>
      <c r="H16" s="454"/>
      <c r="I16" s="454"/>
      <c r="K16" s="454"/>
      <c r="L16" s="454"/>
      <c r="M16" s="425"/>
      <c r="N16" s="425"/>
    </row>
    <row r="17" spans="1:14">
      <c r="A17" s="428">
        <f>+A15+1</f>
        <v>2</v>
      </c>
      <c r="B17" s="428"/>
      <c r="C17" s="453" t="s">
        <v>326</v>
      </c>
      <c r="D17" s="429" t="s">
        <v>220</v>
      </c>
      <c r="E17" s="1328">
        <v>154</v>
      </c>
      <c r="F17" s="433"/>
      <c r="G17" s="1328">
        <v>266</v>
      </c>
      <c r="H17" s="454"/>
      <c r="I17" s="431">
        <f>IF(G17="",0,(E17+G17)/2)</f>
        <v>210</v>
      </c>
      <c r="J17" s="173"/>
      <c r="K17" s="431"/>
      <c r="L17" s="454"/>
      <c r="M17" s="425"/>
      <c r="N17" s="425"/>
    </row>
    <row r="18" spans="1:14">
      <c r="A18" s="428"/>
      <c r="B18" s="428"/>
      <c r="C18" s="453"/>
      <c r="D18" s="173"/>
      <c r="E18" s="173"/>
      <c r="F18" s="173"/>
      <c r="G18" s="173"/>
      <c r="H18" s="173"/>
      <c r="I18" s="346"/>
      <c r="J18" s="173"/>
      <c r="K18" s="173"/>
      <c r="L18" s="454"/>
      <c r="M18" s="425"/>
      <c r="N18" s="425"/>
    </row>
    <row r="19" spans="1:14">
      <c r="A19" s="428">
        <f>+A17+1</f>
        <v>3</v>
      </c>
      <c r="B19" s="428"/>
      <c r="C19" s="453" t="s">
        <v>327</v>
      </c>
      <c r="D19" s="429" t="s">
        <v>221</v>
      </c>
      <c r="E19" s="496"/>
      <c r="F19" s="433"/>
      <c r="G19" s="496"/>
      <c r="H19" s="432"/>
      <c r="I19" s="431">
        <f>IF(G19="",0,(E19+G19)/2)</f>
        <v>0</v>
      </c>
      <c r="J19" s="156"/>
      <c r="K19" s="449"/>
      <c r="L19" s="450"/>
      <c r="M19" s="425"/>
      <c r="N19" s="425"/>
    </row>
    <row r="20" spans="1:14">
      <c r="A20" s="428"/>
      <c r="B20" s="428"/>
      <c r="C20" s="453"/>
      <c r="D20" s="429"/>
      <c r="E20" s="173"/>
      <c r="F20" s="173"/>
      <c r="G20" s="173"/>
      <c r="H20" s="173"/>
      <c r="I20" s="173"/>
      <c r="J20" s="173"/>
      <c r="K20" s="449"/>
      <c r="L20" s="450"/>
      <c r="M20" s="425"/>
      <c r="N20" s="425"/>
    </row>
    <row r="21" spans="1:14">
      <c r="A21" s="428">
        <f>+A19+1</f>
        <v>4</v>
      </c>
      <c r="B21" s="428"/>
      <c r="C21" s="42" t="s">
        <v>768</v>
      </c>
      <c r="D21" s="429" t="s">
        <v>222</v>
      </c>
      <c r="E21" s="496"/>
      <c r="F21" s="433"/>
      <c r="G21" s="496"/>
      <c r="H21" s="432"/>
      <c r="I21" s="431">
        <f>IF(G21="",0,(E21+G21)/2)</f>
        <v>0</v>
      </c>
      <c r="J21" s="156"/>
      <c r="K21" s="449"/>
      <c r="L21" s="450"/>
      <c r="M21" s="425"/>
      <c r="N21" s="425"/>
    </row>
    <row r="22" spans="1:14">
      <c r="A22" s="428"/>
      <c r="B22" s="428"/>
      <c r="C22" s="430"/>
      <c r="D22" s="451"/>
      <c r="E22" s="433"/>
      <c r="F22" s="433"/>
      <c r="G22" s="424"/>
      <c r="H22" s="432"/>
      <c r="I22" s="424"/>
      <c r="J22" s="156"/>
      <c r="K22" s="449"/>
      <c r="L22" s="450"/>
      <c r="M22" s="425"/>
      <c r="N22" s="425"/>
    </row>
    <row r="23" spans="1:14">
      <c r="A23" s="455"/>
      <c r="B23" s="455"/>
      <c r="C23" s="456"/>
      <c r="D23" s="457"/>
      <c r="E23" s="458"/>
      <c r="F23" s="458"/>
      <c r="G23" s="459"/>
      <c r="H23" s="460"/>
      <c r="I23" s="459"/>
      <c r="J23" s="461"/>
      <c r="K23" s="462"/>
      <c r="L23" s="463"/>
      <c r="M23" s="425"/>
      <c r="N23" s="425"/>
    </row>
    <row r="24" spans="1:14" ht="18">
      <c r="A24" s="428"/>
      <c r="B24" s="1531" t="s">
        <v>769</v>
      </c>
      <c r="C24" s="1531"/>
      <c r="D24" s="1531"/>
      <c r="E24" s="1531"/>
      <c r="F24" s="1531"/>
      <c r="G24" s="1531"/>
      <c r="H24" s="1531"/>
      <c r="I24" s="1531"/>
      <c r="J24" s="1531"/>
      <c r="K24" s="1531"/>
      <c r="L24" s="450"/>
      <c r="M24" s="425"/>
      <c r="N24" s="425"/>
    </row>
    <row r="25" spans="1:14" ht="12.75" customHeight="1">
      <c r="A25" s="428"/>
      <c r="B25" s="464"/>
      <c r="C25" s="430"/>
      <c r="D25" s="465"/>
      <c r="E25" s="466"/>
      <c r="F25" s="419"/>
      <c r="G25" s="466" t="s">
        <v>388</v>
      </c>
      <c r="I25" s="467" t="s">
        <v>417</v>
      </c>
      <c r="J25" s="467" t="s">
        <v>417</v>
      </c>
      <c r="K25" s="467" t="s">
        <v>479</v>
      </c>
      <c r="L25" s="450"/>
      <c r="M25" s="425"/>
      <c r="N25" s="425"/>
    </row>
    <row r="26" spans="1:14" ht="12.75" customHeight="1">
      <c r="A26" s="428"/>
      <c r="B26" s="464"/>
      <c r="C26" s="430"/>
      <c r="D26" s="468" t="s">
        <v>299</v>
      </c>
      <c r="E26" s="467" t="s">
        <v>329</v>
      </c>
      <c r="F26" s="419"/>
      <c r="G26" s="467" t="s">
        <v>417</v>
      </c>
      <c r="I26" s="467" t="s">
        <v>319</v>
      </c>
      <c r="J26" s="467" t="s">
        <v>461</v>
      </c>
      <c r="K26" s="467" t="s">
        <v>480</v>
      </c>
      <c r="L26" s="450"/>
      <c r="M26" s="425"/>
      <c r="N26" s="425"/>
    </row>
    <row r="27" spans="1:14" ht="12.75" customHeight="1">
      <c r="A27" s="428">
        <f>+A21+1</f>
        <v>5</v>
      </c>
      <c r="B27" s="464"/>
      <c r="C27" s="430"/>
      <c r="D27" s="469" t="s">
        <v>389</v>
      </c>
      <c r="E27" s="469" t="s">
        <v>300</v>
      </c>
      <c r="F27" s="419"/>
      <c r="G27" s="469" t="s">
        <v>320</v>
      </c>
      <c r="I27" s="469" t="s">
        <v>320</v>
      </c>
      <c r="J27" s="469" t="s">
        <v>320</v>
      </c>
      <c r="K27" s="469" t="s">
        <v>321</v>
      </c>
      <c r="L27" s="450"/>
      <c r="M27" s="425"/>
      <c r="N27" s="425"/>
    </row>
    <row r="28" spans="1:14">
      <c r="A28" s="428"/>
      <c r="B28" s="428"/>
      <c r="C28" s="430"/>
      <c r="D28" s="451"/>
      <c r="E28" s="433"/>
      <c r="F28" s="433"/>
      <c r="G28" s="424"/>
      <c r="H28" s="432"/>
      <c r="I28" s="424"/>
      <c r="J28" s="156"/>
      <c r="K28" s="470"/>
      <c r="L28" s="450"/>
      <c r="M28" s="425"/>
      <c r="N28" s="425"/>
    </row>
    <row r="29" spans="1:14">
      <c r="A29" s="428">
        <f>+A27+1</f>
        <v>6</v>
      </c>
      <c r="B29" s="428"/>
      <c r="C29" s="419" t="str">
        <f>"Totals as of December 31, "&amp;TCOS!L4&amp;""</f>
        <v>Totals as of December 31, 2021</v>
      </c>
      <c r="D29" s="471">
        <f>ROUND(D55,0)</f>
        <v>633567</v>
      </c>
      <c r="E29" s="472">
        <f>ROUND(E55,0)</f>
        <v>0</v>
      </c>
      <c r="F29" s="473"/>
      <c r="G29" s="471">
        <f>ROUND(G55,0)</f>
        <v>0</v>
      </c>
      <c r="H29" s="432"/>
      <c r="I29" s="471">
        <f>ROUND(I55,0)</f>
        <v>633567</v>
      </c>
      <c r="J29" s="474">
        <f>+J55</f>
        <v>0</v>
      </c>
      <c r="K29" s="471">
        <f>ROUND(K55,0)</f>
        <v>633567</v>
      </c>
      <c r="L29" s="450"/>
      <c r="M29" s="425"/>
      <c r="N29" s="425"/>
    </row>
    <row r="30" spans="1:14">
      <c r="A30" s="428">
        <f>+A29+1</f>
        <v>7</v>
      </c>
      <c r="B30" s="428"/>
      <c r="C30" s="419" t="str">
        <f>"Totals as of December 31, "&amp;(TCOS!L4-1)&amp;""</f>
        <v>Totals as of December 31, 2020</v>
      </c>
      <c r="D30" s="475">
        <f>ROUND(D79,0)</f>
        <v>542979</v>
      </c>
      <c r="E30" s="476">
        <f>ROUND(E79,0)</f>
        <v>0</v>
      </c>
      <c r="F30" s="433"/>
      <c r="G30" s="475">
        <f>ROUND(G79,0)</f>
        <v>0</v>
      </c>
      <c r="H30" s="432"/>
      <c r="I30" s="475">
        <f>ROUND(I79,0)</f>
        <v>542979</v>
      </c>
      <c r="J30" s="475">
        <f>+J79</f>
        <v>0</v>
      </c>
      <c r="K30" s="475">
        <f>ROUND(K79,0)</f>
        <v>542979</v>
      </c>
      <c r="L30" s="450"/>
      <c r="M30" s="425"/>
      <c r="N30" s="425"/>
    </row>
    <row r="31" spans="1:14" ht="13.5" thickBot="1">
      <c r="A31" s="428">
        <f>+A30+1</f>
        <v>8</v>
      </c>
      <c r="B31" s="428"/>
      <c r="C31" s="477" t="s">
        <v>505</v>
      </c>
      <c r="D31" s="478">
        <f>IF(D30="",0,(D29+D30)/2)</f>
        <v>588273</v>
      </c>
      <c r="E31" s="478">
        <f>IF(E30="",0,(E29+E30)/2)</f>
        <v>0</v>
      </c>
      <c r="F31" s="479"/>
      <c r="G31" s="478">
        <f>IF(G30="",0,(G29+G30)/2)</f>
        <v>0</v>
      </c>
      <c r="H31" s="480"/>
      <c r="I31" s="478">
        <f>IF(I30="",0,(I29+I30)/2)</f>
        <v>588273</v>
      </c>
      <c r="J31" s="478">
        <f>IF(J30="",0,(J29+J30)/2)</f>
        <v>0</v>
      </c>
      <c r="K31" s="478">
        <f>IF(K30="",0,(K29+K30)/2)</f>
        <v>588273</v>
      </c>
      <c r="L31" s="450"/>
      <c r="M31" s="425"/>
      <c r="N31" s="425"/>
    </row>
    <row r="32" spans="1:14" ht="13.5" thickTop="1">
      <c r="A32" s="428"/>
      <c r="B32" s="428"/>
      <c r="D32" s="451"/>
      <c r="E32" s="433"/>
      <c r="F32" s="433"/>
      <c r="G32" s="424"/>
      <c r="H32" s="432"/>
      <c r="I32" s="424"/>
      <c r="J32" s="156"/>
      <c r="K32" s="449"/>
      <c r="L32" s="450"/>
      <c r="M32" s="425"/>
      <c r="N32" s="425"/>
    </row>
    <row r="33" spans="1:14">
      <c r="A33" s="419"/>
      <c r="E33" s="419"/>
      <c r="F33" s="419"/>
      <c r="J33" s="156"/>
      <c r="K33" s="449"/>
      <c r="L33" s="450"/>
      <c r="M33" s="425"/>
      <c r="N33" s="425"/>
    </row>
    <row r="34" spans="1:14" ht="18">
      <c r="A34" s="428"/>
      <c r="B34" s="1534" t="str">
        <f>"Prepayments Account 165 - Balance @ 12/31/"&amp;D36&amp;""</f>
        <v>Prepayments Account 165 - Balance @ 12/31/2021</v>
      </c>
      <c r="C34" s="1539"/>
      <c r="D34" s="1539"/>
      <c r="E34" s="1539"/>
      <c r="F34" s="1539"/>
      <c r="G34" s="1539"/>
      <c r="H34" s="1539"/>
      <c r="I34" s="1539"/>
      <c r="J34" s="1539"/>
      <c r="K34" s="449"/>
      <c r="L34" s="450"/>
      <c r="M34" s="425"/>
      <c r="N34" s="425"/>
    </row>
    <row r="35" spans="1:14">
      <c r="A35" s="428"/>
      <c r="B35" s="481"/>
      <c r="C35" s="482"/>
      <c r="D35" s="465"/>
      <c r="E35" s="466"/>
      <c r="F35" s="419"/>
      <c r="G35" s="466" t="s">
        <v>388</v>
      </c>
      <c r="I35" s="467" t="s">
        <v>417</v>
      </c>
      <c r="J35" s="467" t="s">
        <v>417</v>
      </c>
      <c r="K35" s="467" t="s">
        <v>479</v>
      </c>
      <c r="L35" s="173"/>
      <c r="M35" s="425"/>
      <c r="N35" s="425"/>
    </row>
    <row r="36" spans="1:14">
      <c r="A36" s="428"/>
      <c r="B36" s="481"/>
      <c r="C36" s="483"/>
      <c r="D36" s="468" t="str">
        <f>""&amp;TCOS!L4</f>
        <v>2021</v>
      </c>
      <c r="E36" s="467" t="s">
        <v>329</v>
      </c>
      <c r="F36" s="419"/>
      <c r="G36" s="467" t="s">
        <v>417</v>
      </c>
      <c r="I36" s="467" t="s">
        <v>319</v>
      </c>
      <c r="J36" s="467" t="s">
        <v>461</v>
      </c>
      <c r="K36" s="467" t="s">
        <v>480</v>
      </c>
      <c r="L36" s="173"/>
      <c r="M36" s="425"/>
      <c r="N36" s="425"/>
    </row>
    <row r="37" spans="1:14">
      <c r="A37" s="428">
        <f>+A31+1</f>
        <v>9</v>
      </c>
      <c r="B37" s="469" t="s">
        <v>391</v>
      </c>
      <c r="C37" s="469" t="s">
        <v>467</v>
      </c>
      <c r="D37" s="469" t="s">
        <v>389</v>
      </c>
      <c r="E37" s="469" t="s">
        <v>300</v>
      </c>
      <c r="F37" s="419"/>
      <c r="G37" s="469" t="s">
        <v>320</v>
      </c>
      <c r="I37" s="469" t="s">
        <v>320</v>
      </c>
      <c r="J37" s="469" t="s">
        <v>320</v>
      </c>
      <c r="K37" s="469" t="s">
        <v>321</v>
      </c>
      <c r="L37" s="469" t="s">
        <v>373</v>
      </c>
      <c r="M37" s="425"/>
      <c r="N37" s="425"/>
    </row>
    <row r="38" spans="1:14">
      <c r="A38" s="428"/>
      <c r="B38" s="481"/>
      <c r="C38" s="482"/>
      <c r="D38" s="482"/>
      <c r="E38" s="482"/>
      <c r="F38" s="419"/>
      <c r="G38" s="482"/>
      <c r="I38" s="482"/>
      <c r="J38" s="482"/>
      <c r="K38" s="470"/>
      <c r="L38" s="173"/>
      <c r="M38" s="425"/>
      <c r="N38" s="425"/>
    </row>
    <row r="39" spans="1:14" ht="14.25">
      <c r="A39" s="428">
        <f>+A37+1</f>
        <v>10</v>
      </c>
      <c r="B39" s="1334">
        <v>1650001</v>
      </c>
      <c r="C39" s="1335" t="s">
        <v>804</v>
      </c>
      <c r="D39" s="1336">
        <v>352085.42700000003</v>
      </c>
      <c r="E39" s="1337">
        <f t="shared" ref="E39:E41" si="0">+D39-K39</f>
        <v>0</v>
      </c>
      <c r="F39" s="419"/>
      <c r="G39" s="1338"/>
      <c r="I39" s="1338">
        <f>+D39</f>
        <v>352085.42700000003</v>
      </c>
      <c r="J39" s="1338"/>
      <c r="K39" s="1338">
        <f>+G39+I39+J39</f>
        <v>352085.42700000003</v>
      </c>
      <c r="L39" s="173"/>
      <c r="M39" s="425"/>
      <c r="N39" s="425"/>
    </row>
    <row r="40" spans="1:14" ht="14.25">
      <c r="A40" s="428">
        <f>+A39+1</f>
        <v>11</v>
      </c>
      <c r="B40" s="1334">
        <v>1650021</v>
      </c>
      <c r="C40" s="1339" t="s">
        <v>805</v>
      </c>
      <c r="D40" s="1336">
        <v>204439.89</v>
      </c>
      <c r="E40" s="1337">
        <f t="shared" si="0"/>
        <v>0</v>
      </c>
      <c r="F40" s="419"/>
      <c r="G40" s="1338"/>
      <c r="I40" s="1338">
        <f>+D40</f>
        <v>204439.89</v>
      </c>
      <c r="J40" s="1338"/>
      <c r="K40" s="1338">
        <f t="shared" ref="K40:K41" si="1">+G40+I40+J40</f>
        <v>204439.89</v>
      </c>
      <c r="L40" s="173"/>
      <c r="M40" s="425"/>
      <c r="N40" s="425"/>
    </row>
    <row r="41" spans="1:14" ht="14.25">
      <c r="A41" s="428">
        <f t="shared" ref="A41:A54" si="2">+A40+1</f>
        <v>12</v>
      </c>
      <c r="B41" s="1334">
        <v>1650023</v>
      </c>
      <c r="C41" s="1339" t="s">
        <v>806</v>
      </c>
      <c r="D41" s="1336">
        <v>77041.650000000009</v>
      </c>
      <c r="E41" s="1337">
        <f t="shared" si="0"/>
        <v>0</v>
      </c>
      <c r="F41" s="419"/>
      <c r="G41" s="1338"/>
      <c r="I41" s="1338">
        <f>+D41</f>
        <v>77041.650000000009</v>
      </c>
      <c r="J41" s="1338"/>
      <c r="K41" s="1338">
        <f t="shared" si="1"/>
        <v>77041.650000000009</v>
      </c>
      <c r="L41" s="173"/>
      <c r="M41" s="425"/>
      <c r="N41" s="425"/>
    </row>
    <row r="42" spans="1:14" ht="14.25">
      <c r="A42" s="428">
        <f t="shared" si="2"/>
        <v>13</v>
      </c>
      <c r="B42" s="1334"/>
      <c r="C42" s="1339"/>
      <c r="D42" s="1336"/>
      <c r="E42" s="1337"/>
      <c r="F42" s="419"/>
      <c r="G42" s="1338"/>
      <c r="I42" s="1338"/>
      <c r="J42" s="1338"/>
      <c r="K42" s="1338"/>
      <c r="L42" s="173"/>
      <c r="M42" s="425"/>
      <c r="N42" s="425"/>
    </row>
    <row r="43" spans="1:14" ht="14.25">
      <c r="A43" s="428">
        <f t="shared" si="2"/>
        <v>14</v>
      </c>
      <c r="B43" s="1334"/>
      <c r="C43" s="1339"/>
      <c r="D43" s="1336"/>
      <c r="E43" s="1337"/>
      <c r="F43" s="419"/>
      <c r="G43" s="1338"/>
      <c r="I43" s="1338"/>
      <c r="J43" s="1338"/>
      <c r="K43" s="1338"/>
      <c r="L43" s="389"/>
      <c r="M43" s="425"/>
      <c r="N43" s="425"/>
    </row>
    <row r="44" spans="1:14" ht="14.25">
      <c r="A44" s="428">
        <f t="shared" si="2"/>
        <v>15</v>
      </c>
      <c r="B44" s="1334"/>
      <c r="C44" s="1339"/>
      <c r="D44" s="1336"/>
      <c r="E44" s="1337"/>
      <c r="F44" s="419"/>
      <c r="G44" s="1338"/>
      <c r="I44" s="1338"/>
      <c r="J44" s="1338"/>
      <c r="K44" s="1338"/>
      <c r="L44" s="389"/>
      <c r="M44" s="425"/>
      <c r="N44" s="425"/>
    </row>
    <row r="45" spans="1:14" ht="14.25">
      <c r="A45" s="428">
        <f t="shared" si="2"/>
        <v>16</v>
      </c>
      <c r="B45" s="1334"/>
      <c r="C45" s="1339"/>
      <c r="D45" s="1336"/>
      <c r="E45" s="1337"/>
      <c r="F45" s="419"/>
      <c r="G45" s="1186"/>
      <c r="I45" s="1338"/>
      <c r="J45" s="1186"/>
      <c r="K45" s="1186"/>
      <c r="L45" s="389"/>
      <c r="M45" s="425"/>
      <c r="N45" s="425"/>
    </row>
    <row r="46" spans="1:14" ht="14.25">
      <c r="A46" s="428">
        <f t="shared" si="2"/>
        <v>17</v>
      </c>
      <c r="B46" s="1334"/>
      <c r="C46" s="1339"/>
      <c r="D46" s="1336"/>
      <c r="E46" s="1337"/>
      <c r="F46" s="419"/>
      <c r="G46" s="1338"/>
      <c r="I46" s="1338"/>
      <c r="J46" s="1338"/>
      <c r="K46" s="1186"/>
      <c r="L46" s="346"/>
      <c r="M46" s="425"/>
      <c r="N46" s="425"/>
    </row>
    <row r="47" spans="1:14" ht="14.25">
      <c r="A47" s="428">
        <f t="shared" si="2"/>
        <v>18</v>
      </c>
      <c r="B47" s="1334"/>
      <c r="C47" s="1339"/>
      <c r="D47" s="1336"/>
      <c r="E47" s="1337"/>
      <c r="F47" s="419"/>
      <c r="G47" s="1338"/>
      <c r="I47" s="1338"/>
      <c r="J47" s="1338"/>
      <c r="K47" s="1186"/>
      <c r="L47" s="389"/>
      <c r="M47" s="425"/>
      <c r="N47" s="425"/>
    </row>
    <row r="48" spans="1:14" ht="14.25">
      <c r="A48" s="428">
        <f t="shared" si="2"/>
        <v>19</v>
      </c>
      <c r="B48" s="1334"/>
      <c r="C48" s="1339"/>
      <c r="D48" s="1336"/>
      <c r="E48" s="1337"/>
      <c r="F48" s="419"/>
      <c r="G48" s="1338"/>
      <c r="I48" s="1338"/>
      <c r="J48" s="1338"/>
      <c r="K48" s="1186"/>
      <c r="L48" s="389"/>
      <c r="M48" s="425"/>
      <c r="N48" s="425"/>
    </row>
    <row r="49" spans="1:15" ht="14.25">
      <c r="A49" s="428">
        <f t="shared" si="2"/>
        <v>20</v>
      </c>
      <c r="B49" s="1334"/>
      <c r="C49" s="1339"/>
      <c r="D49" s="1336"/>
      <c r="E49" s="1337"/>
      <c r="F49" s="419"/>
      <c r="G49" s="1338"/>
      <c r="I49" s="1338"/>
      <c r="J49" s="1186"/>
      <c r="K49" s="1186"/>
      <c r="L49" s="173"/>
      <c r="M49" s="425"/>
      <c r="N49" s="425"/>
    </row>
    <row r="50" spans="1:15" ht="14.25">
      <c r="A50" s="428">
        <f t="shared" si="2"/>
        <v>21</v>
      </c>
      <c r="B50" s="1334"/>
      <c r="C50" s="1339"/>
      <c r="D50" s="1336"/>
      <c r="E50" s="1337"/>
      <c r="F50" s="419"/>
      <c r="G50" s="1338"/>
      <c r="I50" s="1338"/>
      <c r="J50" s="1186"/>
      <c r="K50" s="1186"/>
      <c r="L50" s="173"/>
      <c r="M50" s="425"/>
      <c r="N50" s="425"/>
    </row>
    <row r="51" spans="1:15" ht="14.25">
      <c r="A51" s="428">
        <f t="shared" si="2"/>
        <v>22</v>
      </c>
      <c r="B51" s="1334"/>
      <c r="C51" s="1339"/>
      <c r="D51" s="1336"/>
      <c r="E51" s="1337"/>
      <c r="F51" s="419"/>
      <c r="G51" s="1338"/>
      <c r="I51" s="1338"/>
      <c r="J51" s="1186"/>
      <c r="K51" s="1186"/>
      <c r="L51" s="389"/>
      <c r="M51" s="425"/>
      <c r="N51" s="425"/>
    </row>
    <row r="52" spans="1:15" ht="14.25">
      <c r="A52" s="428">
        <f t="shared" si="2"/>
        <v>23</v>
      </c>
      <c r="B52" s="1334"/>
      <c r="C52" s="1339"/>
      <c r="D52" s="1336"/>
      <c r="E52" s="1337"/>
      <c r="F52" s="419"/>
      <c r="G52" s="1338"/>
      <c r="I52" s="1338"/>
      <c r="J52" s="1186"/>
      <c r="K52" s="1186"/>
      <c r="L52" s="389"/>
      <c r="M52" s="425"/>
      <c r="N52" s="425"/>
    </row>
    <row r="53" spans="1:15" ht="14.25">
      <c r="A53" s="428">
        <f t="shared" si="2"/>
        <v>24</v>
      </c>
      <c r="B53" s="1334"/>
      <c r="C53" s="1339"/>
      <c r="D53" s="1336"/>
      <c r="E53" s="1337"/>
      <c r="F53" s="419"/>
      <c r="G53" s="1338"/>
      <c r="I53" s="1338"/>
      <c r="J53" s="1186"/>
      <c r="K53" s="1186"/>
      <c r="L53" s="389"/>
      <c r="M53" s="425"/>
      <c r="N53" s="425"/>
    </row>
    <row r="54" spans="1:15" ht="15" thickBot="1">
      <c r="A54" s="428">
        <f t="shared" si="2"/>
        <v>25</v>
      </c>
      <c r="B54" s="966"/>
      <c r="C54" s="967"/>
      <c r="D54" s="992"/>
      <c r="E54" s="484"/>
      <c r="F54" s="419"/>
      <c r="G54" s="485"/>
      <c r="I54" s="485"/>
      <c r="J54" s="485"/>
      <c r="K54" s="486"/>
      <c r="L54" s="389"/>
      <c r="M54" s="425"/>
      <c r="N54" s="425"/>
    </row>
    <row r="55" spans="1:15">
      <c r="A55" s="428"/>
      <c r="B55" s="481"/>
      <c r="C55" s="487" t="s">
        <v>301</v>
      </c>
      <c r="D55" s="488">
        <f>SUM(D39:D54)</f>
        <v>633566.96700000006</v>
      </c>
      <c r="E55" s="489">
        <f>SUM(E39:E54)</f>
        <v>0</v>
      </c>
      <c r="F55" s="419"/>
      <c r="G55" s="488">
        <f>SUM(G39:G54)</f>
        <v>0</v>
      </c>
      <c r="I55" s="488">
        <f>SUM(I39:I54)</f>
        <v>633566.96700000006</v>
      </c>
      <c r="J55" s="488">
        <f>SUM(J39:J54)</f>
        <v>0</v>
      </c>
      <c r="K55" s="488">
        <f>SUM(K39:K54)</f>
        <v>633566.96700000006</v>
      </c>
      <c r="L55" s="173"/>
      <c r="M55" s="425"/>
      <c r="N55" s="425"/>
    </row>
    <row r="56" spans="1:15">
      <c r="A56" s="428"/>
      <c r="D56" s="490" t="s">
        <v>416</v>
      </c>
      <c r="K56" s="491"/>
      <c r="L56" s="173"/>
      <c r="M56" s="425"/>
      <c r="N56" s="425"/>
    </row>
    <row r="57" spans="1:15">
      <c r="A57" s="428"/>
      <c r="B57" s="173"/>
      <c r="C57" s="173"/>
      <c r="D57" s="173"/>
      <c r="E57" s="173"/>
      <c r="F57" s="173"/>
      <c r="G57" s="173"/>
      <c r="H57" s="173"/>
      <c r="I57" s="173"/>
      <c r="J57" s="173"/>
      <c r="K57" s="173"/>
      <c r="L57" s="173"/>
      <c r="M57" s="425"/>
      <c r="N57" s="425"/>
      <c r="O57" s="173"/>
    </row>
    <row r="58" spans="1:15" ht="18">
      <c r="A58" s="428"/>
      <c r="B58" s="1534" t="str">
        <f>"Prepayments Account 165 - Balance @ 12/31/ "&amp;D60&amp;""</f>
        <v>Prepayments Account 165 - Balance @ 12/31/ 2020</v>
      </c>
      <c r="C58" s="1534"/>
      <c r="D58" s="1534"/>
      <c r="E58" s="1534"/>
      <c r="F58" s="1534"/>
      <c r="G58" s="1534"/>
      <c r="H58" s="1534"/>
      <c r="I58" s="1534"/>
      <c r="J58" s="1534"/>
      <c r="K58" s="449"/>
      <c r="L58" s="450"/>
      <c r="M58" s="425"/>
      <c r="N58" s="425"/>
      <c r="O58" s="173"/>
    </row>
    <row r="59" spans="1:15">
      <c r="A59" s="428"/>
      <c r="B59" s="492"/>
      <c r="C59" s="493"/>
      <c r="D59" s="494"/>
      <c r="E59" s="466"/>
      <c r="F59" s="419"/>
      <c r="G59" s="466" t="s">
        <v>388</v>
      </c>
      <c r="I59" s="467" t="s">
        <v>417</v>
      </c>
      <c r="J59" s="467" t="s">
        <v>417</v>
      </c>
      <c r="K59" s="467" t="s">
        <v>479</v>
      </c>
      <c r="L59" s="173"/>
      <c r="M59" s="425"/>
      <c r="N59" s="425"/>
      <c r="O59" s="173"/>
    </row>
    <row r="60" spans="1:15">
      <c r="A60" s="428"/>
      <c r="B60" s="492"/>
      <c r="C60" s="495"/>
      <c r="D60" s="467" t="str">
        <f>""&amp;TCOS!L4-1&amp;""</f>
        <v>2020</v>
      </c>
      <c r="E60" s="467" t="s">
        <v>329</v>
      </c>
      <c r="F60" s="419"/>
      <c r="G60" s="467" t="s">
        <v>417</v>
      </c>
      <c r="I60" s="467" t="s">
        <v>319</v>
      </c>
      <c r="J60" s="467" t="s">
        <v>461</v>
      </c>
      <c r="K60" s="467" t="s">
        <v>480</v>
      </c>
      <c r="L60" s="173"/>
      <c r="M60" s="425"/>
      <c r="N60" s="425"/>
      <c r="O60" s="173"/>
    </row>
    <row r="61" spans="1:15">
      <c r="A61" s="428">
        <f>A54+1</f>
        <v>26</v>
      </c>
      <c r="B61" s="469" t="s">
        <v>391</v>
      </c>
      <c r="C61" s="469" t="s">
        <v>467</v>
      </c>
      <c r="D61" s="469" t="s">
        <v>389</v>
      </c>
      <c r="E61" s="469" t="s">
        <v>300</v>
      </c>
      <c r="F61" s="419"/>
      <c r="G61" s="469" t="s">
        <v>320</v>
      </c>
      <c r="I61" s="469" t="s">
        <v>320</v>
      </c>
      <c r="J61" s="469" t="s">
        <v>320</v>
      </c>
      <c r="K61" s="469" t="s">
        <v>321</v>
      </c>
      <c r="L61" s="469" t="s">
        <v>373</v>
      </c>
      <c r="M61" s="425"/>
      <c r="N61" s="425"/>
      <c r="O61" s="173"/>
    </row>
    <row r="62" spans="1:15">
      <c r="A62" s="428"/>
      <c r="B62" s="481"/>
      <c r="C62" s="482"/>
      <c r="D62" s="482"/>
      <c r="E62" s="482"/>
      <c r="F62" s="419"/>
      <c r="G62" s="482"/>
      <c r="I62" s="482"/>
      <c r="J62" s="482"/>
      <c r="K62" s="482"/>
      <c r="L62" s="173"/>
      <c r="M62" s="425"/>
      <c r="N62" s="425"/>
      <c r="O62" s="173"/>
    </row>
    <row r="63" spans="1:15" ht="14.25">
      <c r="A63" s="428">
        <f>+A61+1</f>
        <v>27</v>
      </c>
      <c r="B63" s="1334">
        <v>1650001</v>
      </c>
      <c r="C63" s="1335" t="s">
        <v>804</v>
      </c>
      <c r="D63" s="1336">
        <v>312709.84700000001</v>
      </c>
      <c r="E63" s="1337">
        <f t="shared" ref="E63:E65" si="3">+D63-K63</f>
        <v>0</v>
      </c>
      <c r="F63" s="419"/>
      <c r="G63" s="1338"/>
      <c r="I63" s="1338">
        <f>+D63</f>
        <v>312709.84700000001</v>
      </c>
      <c r="J63" s="1338"/>
      <c r="K63" s="1338">
        <f>+G63+I63+J63</f>
        <v>312709.84700000001</v>
      </c>
      <c r="L63" s="173"/>
      <c r="M63" s="425"/>
      <c r="N63" s="425"/>
      <c r="O63" s="173"/>
    </row>
    <row r="64" spans="1:15" ht="14.25">
      <c r="A64" s="428">
        <f>+A63+1</f>
        <v>28</v>
      </c>
      <c r="B64" s="1334">
        <v>1650021</v>
      </c>
      <c r="C64" s="1339" t="s">
        <v>805</v>
      </c>
      <c r="D64" s="1336">
        <v>175785.85</v>
      </c>
      <c r="E64" s="1337">
        <f t="shared" si="3"/>
        <v>0</v>
      </c>
      <c r="F64" s="419"/>
      <c r="G64" s="1338"/>
      <c r="I64" s="1338">
        <f>+D64</f>
        <v>175785.85</v>
      </c>
      <c r="J64" s="1338"/>
      <c r="K64" s="1338">
        <f t="shared" ref="K64:K65" si="4">+G64+I64+J64</f>
        <v>175785.85</v>
      </c>
      <c r="L64" s="173"/>
      <c r="M64" s="425"/>
      <c r="N64" s="425"/>
      <c r="O64" s="173"/>
    </row>
    <row r="65" spans="1:15" ht="14.25">
      <c r="A65" s="428">
        <f t="shared" ref="A65:A78" si="5">+A64+1</f>
        <v>29</v>
      </c>
      <c r="B65" s="1334">
        <v>1650023</v>
      </c>
      <c r="C65" s="1339" t="s">
        <v>806</v>
      </c>
      <c r="D65" s="1336">
        <v>54483.31</v>
      </c>
      <c r="E65" s="1337">
        <f t="shared" si="3"/>
        <v>0</v>
      </c>
      <c r="F65" s="419"/>
      <c r="G65" s="1338"/>
      <c r="I65" s="1338">
        <f>+D65</f>
        <v>54483.31</v>
      </c>
      <c r="J65" s="1338"/>
      <c r="K65" s="1338">
        <f t="shared" si="4"/>
        <v>54483.31</v>
      </c>
      <c r="L65" s="173"/>
      <c r="M65" s="425"/>
      <c r="N65" s="425"/>
      <c r="O65" s="173"/>
    </row>
    <row r="66" spans="1:15" ht="14.25">
      <c r="A66" s="428">
        <f t="shared" si="5"/>
        <v>30</v>
      </c>
      <c r="B66" s="1334"/>
      <c r="C66" s="1339"/>
      <c r="D66" s="1336"/>
      <c r="E66" s="1337"/>
      <c r="F66" s="419"/>
      <c r="G66" s="1338"/>
      <c r="I66" s="1338"/>
      <c r="J66" s="1338"/>
      <c r="K66" s="1338"/>
      <c r="L66" s="173"/>
      <c r="M66" s="425"/>
      <c r="N66" s="425"/>
      <c r="O66" s="173"/>
    </row>
    <row r="67" spans="1:15" ht="14.25">
      <c r="A67" s="428">
        <f t="shared" si="5"/>
        <v>31</v>
      </c>
      <c r="B67" s="1334"/>
      <c r="C67" s="1339"/>
      <c r="D67" s="1336"/>
      <c r="E67" s="1337"/>
      <c r="F67" s="419"/>
      <c r="G67" s="1338"/>
      <c r="I67" s="1338"/>
      <c r="J67" s="1338"/>
      <c r="K67" s="1338"/>
      <c r="L67" s="389"/>
      <c r="M67" s="425"/>
      <c r="N67" s="425"/>
      <c r="O67" s="173"/>
    </row>
    <row r="68" spans="1:15" ht="14.25">
      <c r="A68" s="428">
        <f t="shared" si="5"/>
        <v>32</v>
      </c>
      <c r="B68" s="1334"/>
      <c r="C68" s="1339"/>
      <c r="D68" s="1336"/>
      <c r="E68" s="1337"/>
      <c r="F68" s="419"/>
      <c r="G68" s="1338"/>
      <c r="I68" s="1338"/>
      <c r="J68" s="1338"/>
      <c r="K68" s="1338"/>
      <c r="L68" s="389"/>
      <c r="M68" s="425"/>
      <c r="N68" s="425"/>
      <c r="O68" s="173"/>
    </row>
    <row r="69" spans="1:15" ht="14.25">
      <c r="A69" s="428">
        <f t="shared" si="5"/>
        <v>33</v>
      </c>
      <c r="B69" s="1334"/>
      <c r="C69" s="1339"/>
      <c r="D69" s="1336"/>
      <c r="E69" s="1337"/>
      <c r="F69" s="419"/>
      <c r="G69" s="1186"/>
      <c r="I69" s="1338"/>
      <c r="J69" s="1186"/>
      <c r="K69" s="1186"/>
      <c r="L69" s="389"/>
      <c r="M69" s="425"/>
      <c r="N69" s="425"/>
      <c r="O69" s="173"/>
    </row>
    <row r="70" spans="1:15" ht="14.25">
      <c r="A70" s="428">
        <f t="shared" si="5"/>
        <v>34</v>
      </c>
      <c r="B70" s="1334"/>
      <c r="C70" s="1339"/>
      <c r="D70" s="1336"/>
      <c r="E70" s="1337"/>
      <c r="F70" s="419"/>
      <c r="G70" s="1338"/>
      <c r="I70" s="1338"/>
      <c r="J70" s="1338"/>
      <c r="K70" s="1186"/>
      <c r="L70" s="1407"/>
      <c r="M70" s="425"/>
      <c r="N70" s="425"/>
      <c r="O70" s="173"/>
    </row>
    <row r="71" spans="1:15" ht="14.25">
      <c r="A71" s="428">
        <f t="shared" si="5"/>
        <v>35</v>
      </c>
      <c r="B71" s="1334"/>
      <c r="C71" s="1339"/>
      <c r="D71" s="1336"/>
      <c r="E71" s="1337"/>
      <c r="F71" s="419"/>
      <c r="G71" s="1338"/>
      <c r="I71" s="1338"/>
      <c r="J71" s="1338"/>
      <c r="K71" s="1186"/>
      <c r="L71" s="389"/>
      <c r="M71" s="425"/>
      <c r="N71" s="425"/>
      <c r="O71" s="173"/>
    </row>
    <row r="72" spans="1:15" ht="14.25">
      <c r="A72" s="428">
        <f>+A69+1</f>
        <v>34</v>
      </c>
      <c r="B72" s="1334"/>
      <c r="C72" s="1339"/>
      <c r="D72" s="1336"/>
      <c r="E72" s="1337"/>
      <c r="F72" s="419"/>
      <c r="G72" s="1338"/>
      <c r="I72" s="1338"/>
      <c r="J72" s="1338"/>
      <c r="K72" s="1186"/>
      <c r="L72" s="389"/>
      <c r="M72" s="425"/>
      <c r="N72" s="425"/>
      <c r="O72" s="173"/>
    </row>
    <row r="73" spans="1:15" ht="14.25">
      <c r="A73" s="428">
        <f t="shared" si="5"/>
        <v>35</v>
      </c>
      <c r="B73" s="1334"/>
      <c r="C73" s="1339"/>
      <c r="D73" s="1336"/>
      <c r="E73" s="1337"/>
      <c r="F73" s="419"/>
      <c r="G73" s="1338"/>
      <c r="I73" s="1338"/>
      <c r="J73" s="1186"/>
      <c r="K73" s="1186"/>
      <c r="L73" s="173"/>
      <c r="M73" s="425"/>
      <c r="N73" s="425"/>
      <c r="O73" s="173"/>
    </row>
    <row r="74" spans="1:15" ht="14.25">
      <c r="A74" s="428">
        <f t="shared" si="5"/>
        <v>36</v>
      </c>
      <c r="B74" s="1334"/>
      <c r="C74" s="1339"/>
      <c r="D74" s="1336"/>
      <c r="E74" s="1337"/>
      <c r="F74" s="419"/>
      <c r="G74" s="1338"/>
      <c r="I74" s="1338"/>
      <c r="J74" s="1186"/>
      <c r="K74" s="1186"/>
      <c r="L74" s="173"/>
      <c r="M74" s="425"/>
      <c r="N74" s="425"/>
      <c r="O74" s="173"/>
    </row>
    <row r="75" spans="1:15" ht="14.25">
      <c r="A75" s="428">
        <f t="shared" si="5"/>
        <v>37</v>
      </c>
      <c r="B75" s="1334"/>
      <c r="C75" s="1339"/>
      <c r="D75" s="1336"/>
      <c r="E75" s="1337"/>
      <c r="F75" s="419"/>
      <c r="G75" s="1338"/>
      <c r="I75" s="1338"/>
      <c r="J75" s="1186"/>
      <c r="K75" s="1186"/>
      <c r="L75" s="389"/>
      <c r="M75" s="425"/>
      <c r="N75" s="425"/>
      <c r="O75" s="173"/>
    </row>
    <row r="76" spans="1:15" ht="14.25">
      <c r="A76" s="428">
        <f t="shared" si="5"/>
        <v>38</v>
      </c>
      <c r="B76" s="1334"/>
      <c r="C76" s="1339"/>
      <c r="D76" s="1336"/>
      <c r="E76" s="1337"/>
      <c r="F76" s="419"/>
      <c r="G76" s="1338"/>
      <c r="I76" s="1338"/>
      <c r="J76" s="1186"/>
      <c r="K76" s="1186"/>
      <c r="L76" s="389"/>
      <c r="M76" s="425"/>
      <c r="N76" s="425"/>
      <c r="O76" s="173"/>
    </row>
    <row r="77" spans="1:15" ht="14.25">
      <c r="A77" s="428">
        <f t="shared" si="5"/>
        <v>39</v>
      </c>
      <c r="B77" s="1334"/>
      <c r="C77" s="1339"/>
      <c r="D77" s="1336"/>
      <c r="E77" s="1337"/>
      <c r="F77" s="419"/>
      <c r="G77" s="1338"/>
      <c r="I77" s="1338"/>
      <c r="J77" s="1186"/>
      <c r="K77" s="1186"/>
      <c r="L77" s="389"/>
      <c r="M77" s="425"/>
      <c r="N77" s="425"/>
      <c r="O77" s="173"/>
    </row>
    <row r="78" spans="1:15" ht="15" thickBot="1">
      <c r="A78" s="428">
        <f t="shared" si="5"/>
        <v>40</v>
      </c>
      <c r="B78" s="966"/>
      <c r="C78" s="967"/>
      <c r="D78" s="992"/>
      <c r="E78" s="484"/>
      <c r="F78" s="419"/>
      <c r="G78" s="485"/>
      <c r="I78" s="485"/>
      <c r="J78" s="485"/>
      <c r="K78" s="486"/>
      <c r="L78" s="389"/>
      <c r="M78" s="425"/>
      <c r="N78" s="425"/>
      <c r="O78" s="173"/>
    </row>
    <row r="79" spans="1:15">
      <c r="A79" s="428"/>
      <c r="B79" s="481"/>
      <c r="C79" s="1239" t="s">
        <v>626</v>
      </c>
      <c r="D79" s="488">
        <f>SUM(D63:D78)</f>
        <v>542979.00699999998</v>
      </c>
      <c r="E79" s="489">
        <f>SUM(E63:E78)</f>
        <v>0</v>
      </c>
      <c r="F79" s="419"/>
      <c r="G79" s="488">
        <f>SUM(G63:G78)</f>
        <v>0</v>
      </c>
      <c r="I79" s="488">
        <f>SUM(I63:I78)</f>
        <v>542979.00699999998</v>
      </c>
      <c r="J79" s="488">
        <f>SUM(J63:J78)</f>
        <v>0</v>
      </c>
      <c r="K79" s="488">
        <f>SUM(K63:K78)</f>
        <v>542979.00699999998</v>
      </c>
      <c r="L79" s="173"/>
      <c r="M79" s="425"/>
      <c r="N79" s="425"/>
      <c r="O79" s="173"/>
    </row>
    <row r="80" spans="1:15">
      <c r="A80" s="428"/>
      <c r="B80" s="428"/>
      <c r="C80" s="173"/>
      <c r="D80" s="173"/>
      <c r="E80" s="173"/>
      <c r="F80" s="173"/>
      <c r="G80" s="173"/>
      <c r="H80" s="173"/>
      <c r="I80" s="173"/>
      <c r="J80" s="173"/>
      <c r="K80" s="173"/>
      <c r="L80" s="173"/>
      <c r="M80" s="425"/>
      <c r="N80" s="425"/>
      <c r="O80" s="173"/>
    </row>
    <row r="81" spans="1:15" ht="20.25" customHeight="1">
      <c r="A81" s="1119" t="s">
        <v>693</v>
      </c>
      <c r="B81" s="1530" t="s">
        <v>778</v>
      </c>
      <c r="C81" s="1530"/>
      <c r="D81" s="1530"/>
      <c r="E81" s="1530"/>
      <c r="F81" s="1530"/>
      <c r="G81" s="1530"/>
      <c r="H81" s="1530"/>
      <c r="I81" s="1530"/>
      <c r="J81" s="1530"/>
      <c r="K81" s="1530"/>
      <c r="L81" s="1530"/>
      <c r="M81" s="425"/>
      <c r="N81" s="425"/>
      <c r="O81" s="173"/>
    </row>
    <row r="82" spans="1:15" ht="20.25" customHeight="1">
      <c r="A82" s="1240"/>
      <c r="B82" s="1530"/>
      <c r="C82" s="1530"/>
      <c r="D82" s="1530"/>
      <c r="E82" s="1530"/>
      <c r="F82" s="1530"/>
      <c r="G82" s="1530"/>
      <c r="H82" s="1530"/>
      <c r="I82" s="1530"/>
      <c r="J82" s="1530"/>
      <c r="K82" s="1530"/>
      <c r="L82" s="1530"/>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38"/>
  <sheetViews>
    <sheetView workbookViewId="0">
      <selection activeCell="C21" sqref="C21"/>
    </sheetView>
  </sheetViews>
  <sheetFormatPr defaultColWidth="8.85546875" defaultRowHeight="12.75"/>
  <cols>
    <col min="1" max="1" width="9.140625" style="272"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0" t="s">
        <v>416</v>
      </c>
    </row>
    <row r="2" spans="1:15" ht="15.75">
      <c r="A2" s="1000" t="s">
        <v>416</v>
      </c>
    </row>
    <row r="3" spans="1:15"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418"/>
      <c r="G3" s="418"/>
      <c r="H3" s="418"/>
      <c r="I3" s="418"/>
      <c r="J3" s="418"/>
      <c r="K3" s="418"/>
      <c r="L3" s="418"/>
      <c r="M3" s="418"/>
      <c r="N3" s="418"/>
      <c r="O3" s="418"/>
    </row>
    <row r="4" spans="1:15" ht="15">
      <c r="A4" s="1532" t="str">
        <f>"Cost of Service Formula Rate Using Actual/Projected FF1 Balances"</f>
        <v>Cost of Service Formula Rate Using Actual/Projected FF1 Balances</v>
      </c>
      <c r="B4" s="1532"/>
      <c r="C4" s="1532"/>
      <c r="D4" s="1532"/>
      <c r="E4" s="1532"/>
      <c r="F4" s="420"/>
      <c r="G4" s="420"/>
      <c r="H4" s="420"/>
      <c r="I4" s="420"/>
      <c r="J4" s="420"/>
      <c r="K4" s="420"/>
      <c r="L4" s="420"/>
      <c r="M4" s="438"/>
      <c r="N4" s="438"/>
      <c r="O4" s="438"/>
    </row>
    <row r="5" spans="1:15" ht="15">
      <c r="A5" s="1532" t="s">
        <v>553</v>
      </c>
      <c r="B5" s="1532"/>
      <c r="C5" s="1532"/>
      <c r="D5" s="1532"/>
      <c r="E5" s="1532"/>
      <c r="F5" s="420"/>
      <c r="G5" s="420"/>
      <c r="H5" s="420"/>
      <c r="I5" s="420"/>
      <c r="J5" s="420"/>
      <c r="K5" s="420"/>
      <c r="L5" s="420"/>
      <c r="M5" s="420"/>
      <c r="N5" s="420"/>
      <c r="O5" s="420"/>
    </row>
    <row r="6" spans="1:15" ht="15">
      <c r="A6" s="1533" t="str">
        <f>TCOS!F9</f>
        <v>AEP Indiana Michigan Transmission Company</v>
      </c>
      <c r="B6" s="1533"/>
      <c r="C6" s="1533"/>
      <c r="D6" s="1533"/>
      <c r="E6" s="1533"/>
      <c r="F6" s="169"/>
      <c r="G6" s="169"/>
      <c r="H6" s="169"/>
      <c r="I6" s="169"/>
      <c r="J6" s="169"/>
      <c r="K6" s="169"/>
      <c r="L6" s="169"/>
      <c r="M6" s="169"/>
      <c r="N6" s="169"/>
      <c r="O6" s="169"/>
    </row>
    <row r="8" spans="1:15">
      <c r="A8" s="497" t="s">
        <v>469</v>
      </c>
      <c r="B8" s="498" t="s">
        <v>462</v>
      </c>
      <c r="C8" s="498" t="s">
        <v>463</v>
      </c>
    </row>
    <row r="9" spans="1:15">
      <c r="A9" s="497" t="s">
        <v>407</v>
      </c>
      <c r="B9" s="497" t="s">
        <v>467</v>
      </c>
      <c r="C9" s="497">
        <f>+TCOS!L4</f>
        <v>2021</v>
      </c>
    </row>
    <row r="10" spans="1:15">
      <c r="A10" s="499"/>
      <c r="B10" s="500"/>
      <c r="C10" s="498"/>
    </row>
    <row r="11" spans="1:15">
      <c r="A11" s="272">
        <v>1</v>
      </c>
      <c r="B11" s="1241" t="str">
        <f>"Net Funds from IPP Customers 12/31/"&amp;TCOS!L4-1&amp;" ("&amp;TCOS!L4&amp;" FORM 1, P269)"</f>
        <v>Net Funds from IPP Customers 12/31/2020 (2021 FORM 1, P269)</v>
      </c>
      <c r="C11" s="513">
        <v>0</v>
      </c>
      <c r="D11" s="389"/>
    </row>
    <row r="12" spans="1:15">
      <c r="B12" s="346"/>
      <c r="D12" s="389"/>
    </row>
    <row r="13" spans="1:15">
      <c r="A13" s="501">
        <v>2</v>
      </c>
      <c r="B13" s="1241" t="s">
        <v>261</v>
      </c>
      <c r="C13" s="513">
        <v>0</v>
      </c>
      <c r="D13" s="389"/>
    </row>
    <row r="14" spans="1:15">
      <c r="A14" s="501"/>
      <c r="B14" s="1241"/>
      <c r="D14" s="389"/>
    </row>
    <row r="15" spans="1:15">
      <c r="A15" s="501">
        <f>+A13+1</f>
        <v>3</v>
      </c>
      <c r="B15" s="1241" t="s">
        <v>339</v>
      </c>
      <c r="C15" s="513">
        <v>0</v>
      </c>
      <c r="D15" s="389"/>
    </row>
    <row r="16" spans="1:15">
      <c r="A16" s="501"/>
      <c r="B16" s="1241"/>
      <c r="D16" s="389"/>
    </row>
    <row r="17" spans="1:4">
      <c r="A17" s="501">
        <f>+A15+1</f>
        <v>4</v>
      </c>
      <c r="B17" s="1242" t="s">
        <v>0</v>
      </c>
      <c r="D17" s="389"/>
    </row>
    <row r="18" spans="1:4">
      <c r="A18" s="502">
        <f>+A17+1</f>
        <v>5</v>
      </c>
      <c r="B18" s="1241" t="s">
        <v>340</v>
      </c>
      <c r="C18" s="513">
        <v>0</v>
      </c>
      <c r="D18" s="389"/>
    </row>
    <row r="19" spans="1:4">
      <c r="A19" s="502">
        <f>+A18+1</f>
        <v>6</v>
      </c>
      <c r="B19" s="1243" t="s">
        <v>416</v>
      </c>
      <c r="C19" s="513">
        <v>0</v>
      </c>
      <c r="D19" s="389"/>
    </row>
    <row r="20" spans="1:4">
      <c r="A20" s="502"/>
      <c r="B20" s="346"/>
      <c r="C20" s="505"/>
      <c r="D20" s="389"/>
    </row>
    <row r="21" spans="1:4">
      <c r="A21" s="502">
        <f>+A19+1</f>
        <v>7</v>
      </c>
      <c r="B21" s="1241" t="str">
        <f>"Net Funds from IPP Customers 12/31/"&amp;TCOS!L4&amp;" ("&amp;TCOS!L4&amp;" FORM 1, P269)"</f>
        <v>Net Funds from IPP Customers 12/31/2021 (2021 FORM 1, P269)</v>
      </c>
      <c r="C21" s="506">
        <f>+C11+C13+C15+C18+C19</f>
        <v>0</v>
      </c>
      <c r="D21" s="507"/>
    </row>
    <row r="22" spans="1:4">
      <c r="A22" s="502"/>
      <c r="B22" s="504"/>
      <c r="D22" s="389"/>
    </row>
    <row r="23" spans="1:4">
      <c r="A23" s="502">
        <f>+A21+1</f>
        <v>8</v>
      </c>
      <c r="B23" s="503" t="str">
        <f>"Average Balance for Year as Indicated in Column ((ln "&amp;A11&amp;" + ln "&amp;A21&amp;")/2)"</f>
        <v>Average Balance for Year as Indicated in Column ((ln 1 + ln 7)/2)</v>
      </c>
      <c r="C23" s="508">
        <f>AVERAGE(C21,C11)</f>
        <v>0</v>
      </c>
      <c r="D23" s="389"/>
    </row>
    <row r="24" spans="1:4">
      <c r="A24" s="502"/>
      <c r="B24" s="504"/>
      <c r="D24" s="389"/>
    </row>
    <row r="25" spans="1:4">
      <c r="A25" s="502"/>
      <c r="B25" s="504"/>
      <c r="C25" s="506"/>
      <c r="D25" s="389"/>
    </row>
    <row r="26" spans="1:4" ht="15">
      <c r="A26" s="509" t="s">
        <v>297</v>
      </c>
      <c r="B26" s="1540" t="str">
        <f>"On this worksheet Company Records refers to  "&amp;A6&amp;"'s general ledger."</f>
        <v>On this worksheet Company Records refers to  AEP Indiana Michigan Transmission Company's general ledger.</v>
      </c>
      <c r="C26" s="407"/>
      <c r="D26" s="389"/>
    </row>
    <row r="27" spans="1:4">
      <c r="A27" s="510"/>
      <c r="B27" s="1541"/>
      <c r="D27" s="389"/>
    </row>
    <row r="28" spans="1:4">
      <c r="D28" s="389"/>
    </row>
    <row r="29" spans="1:4">
      <c r="D29" s="389"/>
    </row>
    <row r="30" spans="1:4">
      <c r="D30" s="389"/>
    </row>
    <row r="31" spans="1:4">
      <c r="D31" s="389"/>
    </row>
    <row r="32" spans="1:4">
      <c r="D32" s="511"/>
    </row>
    <row r="33" spans="1:4">
      <c r="D33" s="389"/>
    </row>
    <row r="34" spans="1:4">
      <c r="D34" s="389"/>
    </row>
    <row r="35" spans="1:4">
      <c r="D35" s="389"/>
    </row>
    <row r="36" spans="1:4">
      <c r="A36" s="499"/>
      <c r="B36" s="389"/>
      <c r="C36" s="389"/>
      <c r="D36" s="389"/>
    </row>
    <row r="37" spans="1:4">
      <c r="A37" s="499"/>
      <c r="B37" s="389"/>
      <c r="C37" s="389"/>
    </row>
    <row r="38" spans="1:4">
      <c r="C38" s="512"/>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O151"/>
  <sheetViews>
    <sheetView topLeftCell="A4" zoomScaleNormal="100" workbookViewId="0">
      <selection activeCell="I17" sqref="I17"/>
    </sheetView>
  </sheetViews>
  <sheetFormatPr defaultRowHeight="15"/>
  <cols>
    <col min="1" max="1" width="9.42578125" style="514" customWidth="1"/>
    <col min="2" max="2" width="6.7109375" style="514" customWidth="1"/>
    <col min="3" max="7" width="12.7109375" style="514" customWidth="1"/>
    <col min="8" max="8" width="19.28515625" style="514" customWidth="1"/>
    <col min="9" max="9" width="15" style="514" bestFit="1" customWidth="1"/>
    <col min="10" max="11" width="16.5703125" style="514" bestFit="1" customWidth="1"/>
    <col min="12" max="13" width="22.140625" style="514" bestFit="1" customWidth="1"/>
    <col min="14" max="14" width="8.42578125" style="514" customWidth="1"/>
    <col min="15" max="38" width="12.7109375" style="514" customWidth="1"/>
    <col min="39" max="16384" width="9.140625" style="514"/>
  </cols>
  <sheetData>
    <row r="1" spans="1:22" ht="15.75">
      <c r="A1" s="1000" t="s">
        <v>416</v>
      </c>
    </row>
    <row r="2" spans="1:22" ht="15.75">
      <c r="A2" s="1000" t="s">
        <v>416</v>
      </c>
    </row>
    <row r="3" spans="1:22">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418"/>
      <c r="M3" s="418"/>
      <c r="N3" s="418"/>
      <c r="O3" s="418"/>
    </row>
    <row r="4" spans="1:22">
      <c r="A4" s="1532" t="str">
        <f>"Cost of Service Formula Rate Using Actual/Projected FF1 Balances"</f>
        <v>Cost of Service Formula Rate Using Actual/Projected FF1 Balances</v>
      </c>
      <c r="B4" s="1532"/>
      <c r="C4" s="1532"/>
      <c r="D4" s="1532"/>
      <c r="E4" s="1532"/>
      <c r="F4" s="1532"/>
      <c r="G4" s="1532"/>
      <c r="H4" s="1532"/>
      <c r="I4" s="1532"/>
      <c r="J4" s="1532"/>
      <c r="K4" s="1532"/>
      <c r="L4" s="438"/>
      <c r="M4" s="438"/>
      <c r="N4" s="438"/>
      <c r="O4" s="438"/>
    </row>
    <row r="5" spans="1:22">
      <c r="A5" s="1532" t="s">
        <v>24</v>
      </c>
      <c r="B5" s="1532"/>
      <c r="C5" s="1532"/>
      <c r="D5" s="1532"/>
      <c r="E5" s="1532"/>
      <c r="F5" s="1532"/>
      <c r="G5" s="1532"/>
      <c r="H5" s="1532"/>
      <c r="I5" s="1532"/>
      <c r="J5" s="1532"/>
      <c r="K5" s="1532"/>
      <c r="L5" s="420"/>
      <c r="M5" s="420"/>
      <c r="N5" s="420"/>
      <c r="O5" s="420"/>
    </row>
    <row r="6" spans="1:22">
      <c r="A6" s="1533" t="str">
        <f>TCOS!F9</f>
        <v>AEP Indiana Michigan Transmission Company</v>
      </c>
      <c r="B6" s="1533"/>
      <c r="C6" s="1533"/>
      <c r="D6" s="1533"/>
      <c r="E6" s="1533"/>
      <c r="F6" s="1533"/>
      <c r="G6" s="1533"/>
      <c r="H6" s="1533"/>
      <c r="I6" s="1533"/>
      <c r="J6" s="1533"/>
      <c r="K6" s="1533"/>
      <c r="L6" s="169"/>
      <c r="M6" s="169"/>
      <c r="N6" s="169"/>
      <c r="O6" s="169"/>
    </row>
    <row r="7" spans="1:22">
      <c r="A7" s="515"/>
      <c r="B7" s="515"/>
      <c r="C7" s="515"/>
      <c r="D7" s="515"/>
      <c r="E7" s="515"/>
      <c r="F7" s="515"/>
      <c r="G7" s="515"/>
      <c r="H7" s="515"/>
      <c r="I7" s="515"/>
      <c r="J7" s="515"/>
      <c r="K7" s="515"/>
      <c r="L7" s="515"/>
      <c r="M7" s="515"/>
      <c r="N7" s="515"/>
      <c r="O7" s="515"/>
    </row>
    <row r="8" spans="1:22" ht="18">
      <c r="A8" s="1544"/>
      <c r="B8" s="1544"/>
      <c r="C8" s="1544"/>
      <c r="D8" s="1544"/>
      <c r="E8" s="1544"/>
      <c r="F8" s="1544"/>
      <c r="G8" s="1544"/>
      <c r="H8" s="1544"/>
      <c r="I8" s="1544"/>
      <c r="J8" s="1544"/>
      <c r="K8" s="1544"/>
      <c r="L8" s="517"/>
      <c r="M8" s="518"/>
    </row>
    <row r="9" spans="1:22" ht="18">
      <c r="A9" s="516"/>
      <c r="B9" s="516"/>
      <c r="C9" s="516"/>
      <c r="D9" s="516"/>
      <c r="E9" s="516"/>
      <c r="F9" s="516"/>
      <c r="G9" s="516"/>
      <c r="H9" s="516"/>
      <c r="I9" s="516"/>
      <c r="J9" s="516"/>
      <c r="K9" s="516"/>
      <c r="L9" s="517"/>
      <c r="M9" s="518"/>
    </row>
    <row r="10" spans="1:22" ht="15.75">
      <c r="A10" s="519" t="s">
        <v>469</v>
      </c>
      <c r="B10" s="517"/>
      <c r="C10" s="520"/>
      <c r="D10" s="520"/>
      <c r="E10" s="520"/>
      <c r="F10" s="520"/>
      <c r="G10" s="521"/>
      <c r="H10" s="521"/>
      <c r="I10" s="519" t="s">
        <v>482</v>
      </c>
      <c r="J10" s="519" t="s">
        <v>365</v>
      </c>
      <c r="K10" s="522"/>
      <c r="N10" s="523"/>
      <c r="P10" s="523"/>
      <c r="R10" s="523"/>
      <c r="S10" s="523"/>
      <c r="T10" s="523"/>
      <c r="U10" s="391"/>
      <c r="V10" s="391"/>
    </row>
    <row r="11" spans="1:22" ht="15.75">
      <c r="A11" s="519" t="s">
        <v>407</v>
      </c>
      <c r="B11" s="1545" t="s">
        <v>467</v>
      </c>
      <c r="C11" s="1545"/>
      <c r="D11" s="1545"/>
      <c r="E11" s="1545"/>
      <c r="F11" s="1545"/>
      <c r="G11" s="1545"/>
      <c r="H11" s="1545"/>
      <c r="I11" s="524" t="s">
        <v>483</v>
      </c>
      <c r="J11" s="524" t="s">
        <v>417</v>
      </c>
      <c r="K11" s="524" t="s">
        <v>417</v>
      </c>
      <c r="N11" s="523"/>
      <c r="O11" s="523"/>
      <c r="P11" s="523"/>
      <c r="Q11" s="523"/>
      <c r="R11" s="523"/>
      <c r="S11" s="523"/>
      <c r="T11" s="525"/>
      <c r="U11" s="391"/>
      <c r="V11" s="391"/>
    </row>
    <row r="12" spans="1:22" ht="15.75">
      <c r="A12" s="521"/>
      <c r="B12" s="526"/>
      <c r="C12" s="517"/>
      <c r="D12" s="521"/>
      <c r="E12" s="521"/>
      <c r="F12" s="521"/>
      <c r="G12" s="521"/>
      <c r="H12" s="521"/>
      <c r="I12" s="521"/>
      <c r="J12" s="521"/>
      <c r="K12" s="527"/>
      <c r="N12" s="523"/>
      <c r="O12" s="523"/>
      <c r="P12" s="523"/>
      <c r="Q12" s="523"/>
      <c r="R12" s="523"/>
      <c r="S12" s="523"/>
      <c r="T12" s="525"/>
      <c r="U12" s="391"/>
      <c r="V12" s="391"/>
    </row>
    <row r="13" spans="1:22" s="530" customFormat="1" ht="12.75">
      <c r="A13" s="528">
        <v>1</v>
      </c>
      <c r="B13" s="529" t="s">
        <v>11</v>
      </c>
      <c r="D13" s="531"/>
      <c r="E13" s="531"/>
      <c r="F13" s="532"/>
      <c r="G13" s="531"/>
      <c r="H13" s="531"/>
      <c r="I13" s="554"/>
      <c r="J13" s="533">
        <f>+I13-K13</f>
        <v>0</v>
      </c>
      <c r="K13" s="554"/>
      <c r="N13" s="313"/>
      <c r="O13" s="313"/>
      <c r="P13" s="313"/>
      <c r="Q13" s="313"/>
      <c r="R13" s="313"/>
      <c r="S13" s="313"/>
      <c r="T13" s="534"/>
      <c r="U13" s="313"/>
      <c r="V13" s="313"/>
    </row>
    <row r="14" spans="1:22" s="530" customFormat="1" ht="12.75">
      <c r="A14" s="528"/>
      <c r="B14" s="529"/>
      <c r="D14" s="531"/>
      <c r="E14" s="531"/>
      <c r="F14" s="532"/>
      <c r="G14" s="531"/>
      <c r="H14" s="531"/>
      <c r="I14" s="535"/>
      <c r="J14" s="536"/>
      <c r="K14" s="536"/>
      <c r="N14" s="313"/>
      <c r="O14" s="313"/>
      <c r="P14" s="313"/>
      <c r="Q14" s="313"/>
      <c r="R14" s="313"/>
      <c r="S14" s="313"/>
      <c r="T14" s="534"/>
      <c r="U14" s="313"/>
      <c r="V14" s="313"/>
    </row>
    <row r="15" spans="1:22" s="530" customFormat="1" ht="12.75">
      <c r="A15" s="528">
        <f>+A13+1</f>
        <v>2</v>
      </c>
      <c r="B15" s="537" t="s">
        <v>12</v>
      </c>
      <c r="D15" s="531"/>
      <c r="E15" s="531"/>
      <c r="F15" s="532"/>
      <c r="G15" s="531"/>
      <c r="H15" s="532"/>
      <c r="I15" s="554"/>
      <c r="J15" s="533">
        <f>+I15-K15</f>
        <v>0</v>
      </c>
      <c r="K15" s="554"/>
      <c r="N15" s="313"/>
      <c r="O15" s="313"/>
      <c r="P15" s="313"/>
      <c r="Q15" s="313"/>
      <c r="R15" s="313"/>
      <c r="S15" s="313"/>
      <c r="T15" s="313"/>
      <c r="U15" s="313"/>
      <c r="V15" s="313"/>
    </row>
    <row r="16" spans="1:22" s="530" customFormat="1" ht="12.75">
      <c r="A16" s="528"/>
      <c r="B16" s="537"/>
      <c r="D16" s="531"/>
      <c r="E16" s="531"/>
      <c r="F16" s="532"/>
      <c r="G16" s="531"/>
      <c r="H16" s="532"/>
      <c r="I16" s="536"/>
      <c r="J16" s="536"/>
      <c r="K16" s="538"/>
      <c r="N16" s="313"/>
      <c r="O16" s="313"/>
      <c r="P16" s="313"/>
      <c r="Q16" s="313"/>
      <c r="R16" s="313"/>
      <c r="S16" s="313"/>
      <c r="T16" s="313"/>
      <c r="U16" s="313"/>
      <c r="V16" s="313"/>
    </row>
    <row r="17" spans="1:22" s="530" customFormat="1" ht="12.75">
      <c r="A17" s="528">
        <f>+A15+1</f>
        <v>3</v>
      </c>
      <c r="B17" s="537" t="s">
        <v>13</v>
      </c>
      <c r="D17" s="531"/>
      <c r="E17" s="531"/>
      <c r="F17" s="532"/>
      <c r="G17" s="531"/>
      <c r="H17" s="531"/>
      <c r="I17" s="554">
        <v>1729448.0120000001</v>
      </c>
      <c r="J17" s="533">
        <f>+I17-K17</f>
        <v>0</v>
      </c>
      <c r="K17" s="554">
        <f>I17</f>
        <v>1729448.0120000001</v>
      </c>
      <c r="N17" s="313"/>
      <c r="O17" s="313"/>
      <c r="P17" s="313"/>
      <c r="Q17" s="313"/>
      <c r="R17" s="313"/>
      <c r="S17" s="313"/>
      <c r="T17" s="313"/>
      <c r="U17" s="313"/>
      <c r="V17" s="313"/>
    </row>
    <row r="18" spans="1:22" s="530" customFormat="1" ht="12.75">
      <c r="A18" s="528"/>
      <c r="B18" s="532"/>
      <c r="D18" s="531"/>
      <c r="E18" s="531"/>
      <c r="F18" s="532"/>
      <c r="G18" s="538"/>
      <c r="H18" s="532"/>
      <c r="I18" s="536"/>
      <c r="J18" s="536"/>
      <c r="K18" s="536"/>
      <c r="N18" s="313"/>
      <c r="O18" s="313"/>
      <c r="P18" s="313"/>
      <c r="Q18" s="313"/>
      <c r="R18" s="313"/>
      <c r="S18" s="313"/>
      <c r="T18" s="313"/>
      <c r="U18" s="313"/>
      <c r="V18" s="313"/>
    </row>
    <row r="19" spans="1:22" s="530" customFormat="1" ht="12.75">
      <c r="A19" s="996">
        <v>4</v>
      </c>
      <c r="B19" s="1244" t="s">
        <v>770</v>
      </c>
      <c r="C19" s="346"/>
      <c r="D19" s="1245"/>
      <c r="E19" s="1245"/>
      <c r="F19" s="1245"/>
      <c r="G19" s="997"/>
      <c r="H19" s="1245"/>
      <c r="I19" s="554"/>
      <c r="J19" s="533">
        <f>+I19-K19</f>
        <v>0</v>
      </c>
      <c r="K19" s="554"/>
      <c r="N19" s="540"/>
      <c r="O19" s="313"/>
      <c r="P19" s="313"/>
      <c r="Q19" s="313"/>
      <c r="R19" s="313"/>
      <c r="S19" s="313"/>
      <c r="T19" s="313"/>
      <c r="U19" s="313"/>
      <c r="V19" s="313"/>
    </row>
    <row r="20" spans="1:22" s="530" customFormat="1" ht="12.75">
      <c r="A20" s="996"/>
      <c r="B20" s="1244"/>
      <c r="C20" s="346"/>
      <c r="D20" s="1245"/>
      <c r="E20" s="1245"/>
      <c r="F20" s="1245"/>
      <c r="G20" s="997"/>
      <c r="H20" s="1245"/>
      <c r="I20" s="313"/>
      <c r="J20" s="313"/>
      <c r="K20" s="313"/>
      <c r="L20" s="313"/>
      <c r="N20" s="540"/>
      <c r="O20" s="313"/>
      <c r="P20" s="313"/>
      <c r="Q20" s="313"/>
      <c r="R20" s="313"/>
      <c r="S20" s="313"/>
      <c r="T20" s="313"/>
      <c r="U20" s="313"/>
      <c r="V20" s="313"/>
    </row>
    <row r="21" spans="1:22" s="530" customFormat="1" ht="12.75">
      <c r="A21" s="996">
        <v>5</v>
      </c>
      <c r="B21" s="1244" t="s">
        <v>771</v>
      </c>
      <c r="C21" s="346"/>
      <c r="D21" s="1245"/>
      <c r="E21" s="1245"/>
      <c r="F21" s="1245"/>
      <c r="G21" s="997"/>
      <c r="H21" s="1245"/>
      <c r="I21" s="554">
        <v>373319713.18000001</v>
      </c>
      <c r="J21" s="533">
        <f>+I21-K21</f>
        <v>373319713.18000001</v>
      </c>
      <c r="K21" s="554"/>
      <c r="N21" s="540"/>
      <c r="O21" s="313"/>
      <c r="P21" s="313"/>
      <c r="Q21" s="313"/>
      <c r="R21" s="313"/>
      <c r="S21" s="313"/>
      <c r="T21" s="313"/>
      <c r="U21" s="313"/>
      <c r="V21" s="313"/>
    </row>
    <row r="22" spans="1:22" s="530" customFormat="1" ht="12.75">
      <c r="A22" s="996"/>
      <c r="B22" s="1244"/>
      <c r="C22" s="346"/>
      <c r="D22" s="1245"/>
      <c r="E22" s="1245"/>
      <c r="F22" s="1245"/>
      <c r="G22" s="997"/>
      <c r="H22" s="1245"/>
      <c r="I22" s="554"/>
      <c r="J22" s="533"/>
      <c r="K22" s="554"/>
      <c r="N22" s="540"/>
      <c r="O22" s="313"/>
      <c r="P22" s="313"/>
      <c r="Q22" s="313"/>
      <c r="R22" s="313"/>
      <c r="S22" s="313"/>
      <c r="T22" s="313"/>
      <c r="U22" s="313"/>
      <c r="V22" s="313"/>
    </row>
    <row r="23" spans="1:22" s="530" customFormat="1" ht="12.75">
      <c r="A23" s="996" t="s">
        <v>627</v>
      </c>
      <c r="B23" s="1244" t="s">
        <v>628</v>
      </c>
      <c r="C23" s="346"/>
      <c r="D23" s="1245"/>
      <c r="E23" s="1245"/>
      <c r="F23" s="1245"/>
      <c r="G23" s="997"/>
      <c r="H23" s="1245"/>
      <c r="I23" s="998"/>
      <c r="J23" s="999">
        <v>0</v>
      </c>
      <c r="K23" s="998"/>
      <c r="N23" s="540"/>
      <c r="O23" s="313"/>
      <c r="P23" s="313"/>
      <c r="Q23" s="313"/>
      <c r="R23" s="313"/>
      <c r="S23" s="313"/>
      <c r="T23" s="313"/>
      <c r="U23" s="313"/>
      <c r="V23" s="313"/>
    </row>
    <row r="24" spans="1:22" s="530" customFormat="1" ht="12.75">
      <c r="A24" s="996"/>
      <c r="B24" s="1244"/>
      <c r="C24" s="346"/>
      <c r="D24" s="1245"/>
      <c r="E24" s="1245"/>
      <c r="F24" s="1245"/>
      <c r="G24" s="997"/>
      <c r="H24" s="1245"/>
      <c r="I24" s="998"/>
      <c r="J24" s="999"/>
      <c r="K24" s="998"/>
      <c r="N24" s="540"/>
      <c r="O24" s="313"/>
      <c r="P24" s="313"/>
      <c r="Q24" s="313"/>
      <c r="R24" s="313"/>
      <c r="S24" s="313"/>
      <c r="T24" s="313"/>
      <c r="U24" s="313"/>
      <c r="V24" s="313"/>
    </row>
    <row r="25" spans="1:22" s="530" customFormat="1" ht="12.75">
      <c r="A25" s="996" t="s">
        <v>629</v>
      </c>
      <c r="B25" s="1244" t="s">
        <v>630</v>
      </c>
      <c r="C25" s="346"/>
      <c r="D25" s="1245"/>
      <c r="E25" s="1245"/>
      <c r="F25" s="1245"/>
      <c r="G25" s="997"/>
      <c r="H25" s="1245"/>
      <c r="I25" s="998"/>
      <c r="J25" s="999">
        <v>0</v>
      </c>
      <c r="K25" s="998"/>
      <c r="N25" s="540"/>
      <c r="O25" s="313"/>
      <c r="P25" s="313"/>
      <c r="Q25" s="313"/>
      <c r="R25" s="313"/>
      <c r="S25" s="313"/>
      <c r="T25" s="313"/>
      <c r="U25" s="313"/>
      <c r="V25" s="313"/>
    </row>
    <row r="26" spans="1:22" s="530" customFormat="1" ht="12.75">
      <c r="A26" s="528"/>
      <c r="B26" s="539"/>
      <c r="D26" s="531"/>
      <c r="E26" s="531"/>
      <c r="F26" s="532"/>
      <c r="G26" s="538"/>
      <c r="H26" s="532"/>
      <c r="I26" s="313"/>
      <c r="J26" s="313"/>
      <c r="K26" s="313"/>
      <c r="N26" s="313"/>
      <c r="O26" s="313"/>
      <c r="P26" s="313"/>
      <c r="Q26" s="313"/>
      <c r="R26" s="313"/>
      <c r="S26" s="313"/>
      <c r="T26" s="313"/>
      <c r="U26" s="313"/>
      <c r="V26" s="313"/>
    </row>
    <row r="27" spans="1:22" s="530" customFormat="1" ht="12.75">
      <c r="A27" s="528">
        <f>+A21+1</f>
        <v>6</v>
      </c>
      <c r="B27" s="539" t="s">
        <v>337</v>
      </c>
      <c r="D27" s="531"/>
      <c r="E27" s="531"/>
      <c r="F27" s="532"/>
      <c r="G27" s="538"/>
      <c r="H27" s="532"/>
      <c r="I27" s="542">
        <f>+I21+I19+I17+I15+I13+I23+I25</f>
        <v>375049161.19200003</v>
      </c>
      <c r="J27" s="542">
        <f>+J21+J19+J17+J15+J13+J23+J25</f>
        <v>373319713.18000001</v>
      </c>
      <c r="K27" s="542">
        <f>+K21+K19+K17+K15+K13+K23+K25</f>
        <v>1729448.0120000001</v>
      </c>
      <c r="N27" s="313"/>
      <c r="O27" s="313"/>
      <c r="P27" s="313"/>
      <c r="Q27" s="313"/>
      <c r="R27" s="313"/>
      <c r="S27" s="313"/>
      <c r="T27" s="313"/>
      <c r="U27" s="313"/>
      <c r="V27" s="313"/>
    </row>
    <row r="28" spans="1:22" s="530" customFormat="1" ht="12.75">
      <c r="A28" s="528"/>
      <c r="B28" s="539"/>
      <c r="D28" s="531"/>
      <c r="E28" s="531"/>
      <c r="F28" s="532"/>
      <c r="G28" s="538"/>
      <c r="H28" s="532"/>
      <c r="I28" s="313"/>
      <c r="J28" s="313"/>
      <c r="K28" s="313"/>
      <c r="N28" s="313"/>
      <c r="O28" s="313"/>
      <c r="P28" s="313"/>
      <c r="Q28" s="313"/>
      <c r="R28" s="313"/>
      <c r="S28" s="313"/>
      <c r="T28" s="313"/>
      <c r="U28" s="313"/>
      <c r="V28" s="313"/>
    </row>
    <row r="29" spans="1:22" s="530" customFormat="1" ht="12.75">
      <c r="A29" s="528">
        <f>+A27+1</f>
        <v>7</v>
      </c>
      <c r="B29" s="1543" t="s">
        <v>14</v>
      </c>
      <c r="C29" s="1487"/>
      <c r="D29" s="1487"/>
      <c r="E29" s="1487"/>
      <c r="F29" s="1487"/>
      <c r="G29" s="1487"/>
      <c r="H29" s="536"/>
      <c r="I29" s="554"/>
      <c r="J29" s="533">
        <f>+I29-K29</f>
        <v>0</v>
      </c>
      <c r="K29" s="554"/>
      <c r="N29" s="313"/>
      <c r="O29" s="313"/>
      <c r="P29" s="313"/>
      <c r="Q29" s="313"/>
      <c r="R29" s="313"/>
      <c r="S29" s="313"/>
      <c r="T29" s="313"/>
      <c r="U29" s="313"/>
      <c r="V29" s="313"/>
    </row>
    <row r="30" spans="1:22" s="530" customFormat="1" ht="12.75">
      <c r="A30" s="528"/>
      <c r="B30" s="1487"/>
      <c r="C30" s="1487"/>
      <c r="D30" s="1487"/>
      <c r="E30" s="1487"/>
      <c r="F30" s="1487"/>
      <c r="G30" s="1487"/>
      <c r="H30" s="532"/>
      <c r="I30" s="541"/>
      <c r="J30" s="532"/>
      <c r="K30" s="543"/>
      <c r="N30" s="313"/>
      <c r="O30" s="313"/>
      <c r="P30" s="313"/>
      <c r="Q30" s="313"/>
      <c r="R30" s="313"/>
      <c r="S30" s="313"/>
      <c r="T30" s="313"/>
      <c r="U30" s="313"/>
      <c r="V30" s="313"/>
    </row>
    <row r="31" spans="1:22" s="530" customFormat="1" ht="12.75">
      <c r="A31" s="528">
        <f>+A29+1</f>
        <v>8</v>
      </c>
      <c r="B31" s="544" t="s">
        <v>507</v>
      </c>
      <c r="D31" s="531"/>
      <c r="E31" s="531"/>
      <c r="F31" s="532"/>
      <c r="G31" s="538"/>
      <c r="H31" s="532"/>
      <c r="I31" s="545">
        <f>+I27+I29</f>
        <v>375049161.19200003</v>
      </c>
      <c r="J31" s="545">
        <f>+J27+J29</f>
        <v>373319713.18000001</v>
      </c>
      <c r="K31" s="545">
        <f>+K27+K29</f>
        <v>1729448.0120000001</v>
      </c>
      <c r="N31" s="313"/>
      <c r="O31" s="313"/>
      <c r="P31" s="313"/>
      <c r="Q31" s="313"/>
      <c r="R31" s="313"/>
      <c r="S31" s="313"/>
      <c r="T31" s="313"/>
      <c r="U31" s="313"/>
      <c r="V31" s="313"/>
    </row>
    <row r="32" spans="1:22" s="530" customFormat="1" ht="12.75">
      <c r="A32" s="528"/>
      <c r="B32" s="544"/>
      <c r="D32" s="531"/>
      <c r="E32" s="531"/>
      <c r="F32" s="532"/>
      <c r="G32" s="538"/>
      <c r="H32" s="532"/>
      <c r="I32" s="543"/>
      <c r="J32" s="543"/>
      <c r="K32" s="543"/>
      <c r="N32" s="313"/>
      <c r="O32" s="313"/>
      <c r="P32" s="313"/>
      <c r="Q32" s="313"/>
      <c r="R32" s="313"/>
      <c r="S32" s="313"/>
      <c r="T32" s="313"/>
      <c r="U32" s="313"/>
      <c r="V32" s="313"/>
    </row>
    <row r="33" spans="1:41" s="530" customFormat="1" ht="12.75">
      <c r="A33" s="528">
        <v>9</v>
      </c>
      <c r="B33" s="537" t="s">
        <v>557</v>
      </c>
      <c r="D33" s="531"/>
      <c r="E33" s="531"/>
      <c r="F33" s="532"/>
      <c r="G33" s="538"/>
      <c r="H33" s="532"/>
      <c r="I33" s="543"/>
      <c r="J33" s="543"/>
      <c r="K33" s="554"/>
      <c r="N33" s="313"/>
      <c r="O33" s="313"/>
      <c r="P33" s="313"/>
      <c r="Q33" s="313"/>
      <c r="R33" s="313"/>
      <c r="S33" s="313"/>
      <c r="T33" s="313"/>
      <c r="U33" s="313"/>
      <c r="V33" s="313"/>
    </row>
    <row r="34" spans="1:41" s="530" customFormat="1" ht="12.75">
      <c r="A34" s="528"/>
      <c r="B34" s="544"/>
      <c r="D34" s="531"/>
      <c r="E34" s="531"/>
      <c r="F34" s="532"/>
      <c r="G34" s="538"/>
      <c r="H34" s="532"/>
      <c r="I34" s="543"/>
      <c r="J34" s="543"/>
      <c r="K34" s="543"/>
      <c r="N34" s="313"/>
      <c r="O34" s="313"/>
      <c r="P34" s="313"/>
      <c r="Q34" s="313"/>
      <c r="R34" s="313"/>
      <c r="S34" s="313"/>
      <c r="T34" s="313"/>
      <c r="U34" s="313"/>
      <c r="V34" s="313"/>
    </row>
    <row r="35" spans="1:41" ht="15.75">
      <c r="A35" s="546"/>
      <c r="C35" s="526"/>
      <c r="D35" s="517"/>
      <c r="E35" s="517"/>
      <c r="F35" s="521"/>
      <c r="G35" s="547"/>
      <c r="H35" s="521"/>
      <c r="I35" s="548"/>
      <c r="J35" s="521"/>
      <c r="K35" s="521"/>
      <c r="L35" s="521"/>
      <c r="M35" s="549"/>
      <c r="N35" s="391"/>
      <c r="O35" s="520"/>
      <c r="P35" s="520"/>
      <c r="Q35" s="520"/>
      <c r="R35" s="520"/>
      <c r="S35" s="391"/>
      <c r="T35" s="391"/>
      <c r="U35" s="391"/>
      <c r="V35" s="391"/>
    </row>
    <row r="36" spans="1:41" s="530" customFormat="1" ht="12.75" customHeight="1">
      <c r="A36" s="209" t="s">
        <v>297</v>
      </c>
      <c r="B36" s="1542"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542"/>
      <c r="D36" s="1542"/>
      <c r="E36" s="1542"/>
      <c r="F36" s="1542"/>
      <c r="G36" s="1542"/>
      <c r="H36" s="1542"/>
      <c r="I36" s="1542"/>
      <c r="J36" s="1542"/>
      <c r="K36" s="313"/>
      <c r="L36" s="313"/>
      <c r="M36" s="313"/>
      <c r="N36" s="313"/>
      <c r="O36" s="313"/>
      <c r="P36" s="313"/>
      <c r="Q36" s="313"/>
      <c r="R36" s="313"/>
      <c r="S36" s="313"/>
      <c r="T36" s="534"/>
      <c r="U36" s="313"/>
      <c r="V36" s="313"/>
    </row>
    <row r="37" spans="1:41" s="530" customFormat="1" ht="12.75">
      <c r="A37" s="313"/>
      <c r="B37" s="1542"/>
      <c r="C37" s="1542"/>
      <c r="D37" s="1542"/>
      <c r="E37" s="1542"/>
      <c r="F37" s="1542"/>
      <c r="G37" s="1542"/>
      <c r="H37" s="1542"/>
      <c r="I37" s="1542"/>
      <c r="J37" s="1542"/>
      <c r="K37" s="313"/>
      <c r="L37" s="346"/>
      <c r="M37" s="550"/>
      <c r="N37" s="550"/>
      <c r="O37" s="550"/>
      <c r="P37" s="550"/>
      <c r="Q37" s="550"/>
      <c r="R37" s="346"/>
      <c r="S37" s="346"/>
      <c r="T37" s="346"/>
      <c r="U37" s="346"/>
      <c r="V37" s="346"/>
      <c r="W37" s="551"/>
      <c r="X37" s="551"/>
      <c r="Y37" s="551"/>
      <c r="Z37" s="551"/>
      <c r="AA37" s="551"/>
      <c r="AB37" s="551"/>
      <c r="AC37" s="551"/>
      <c r="AD37" s="551"/>
      <c r="AE37" s="551"/>
      <c r="AF37" s="551"/>
      <c r="AG37" s="551"/>
      <c r="AH37" s="551"/>
      <c r="AI37" s="551"/>
      <c r="AJ37" s="551"/>
      <c r="AK37" s="551"/>
      <c r="AL37" s="551"/>
      <c r="AM37" s="551"/>
      <c r="AN37" s="551"/>
      <c r="AO37" s="551"/>
    </row>
    <row r="38" spans="1:41" s="530" customFormat="1" ht="12.75">
      <c r="A38" s="346" t="s">
        <v>631</v>
      </c>
      <c r="B38" s="1246" t="s">
        <v>632</v>
      </c>
      <c r="C38" s="1068"/>
      <c r="D38" s="1068"/>
      <c r="E38" s="1068"/>
      <c r="F38" s="1068"/>
      <c r="G38" s="1068"/>
      <c r="H38" s="1068"/>
      <c r="I38" s="1068"/>
      <c r="J38" s="995"/>
      <c r="K38" s="550"/>
      <c r="L38" s="346"/>
      <c r="M38" s="550"/>
      <c r="N38" s="550"/>
      <c r="O38" s="550"/>
      <c r="P38" s="550"/>
      <c r="Q38" s="550"/>
      <c r="R38" s="346"/>
      <c r="S38" s="346"/>
      <c r="T38" s="346"/>
      <c r="U38" s="346"/>
      <c r="V38" s="346"/>
      <c r="W38" s="551"/>
      <c r="X38" s="551"/>
      <c r="Y38" s="551"/>
      <c r="Z38" s="551"/>
      <c r="AA38" s="551"/>
      <c r="AB38" s="551"/>
      <c r="AC38" s="551"/>
      <c r="AD38" s="551"/>
      <c r="AE38" s="551"/>
      <c r="AF38" s="551"/>
      <c r="AG38" s="551"/>
      <c r="AH38" s="551"/>
      <c r="AI38" s="551"/>
      <c r="AJ38" s="551"/>
      <c r="AK38" s="551"/>
      <c r="AL38" s="551"/>
      <c r="AM38" s="551"/>
      <c r="AN38" s="551"/>
      <c r="AO38" s="551"/>
    </row>
    <row r="39" spans="1:41" ht="15.75">
      <c r="A39" s="391"/>
      <c r="B39" s="390"/>
      <c r="E39" s="552"/>
      <c r="F39" s="552"/>
      <c r="G39" s="552"/>
      <c r="H39" s="552"/>
      <c r="I39" s="552"/>
      <c r="J39" s="552"/>
      <c r="K39" s="552"/>
      <c r="L39" s="390"/>
      <c r="M39" s="552"/>
      <c r="N39" s="552"/>
      <c r="O39" s="552"/>
      <c r="P39" s="552"/>
      <c r="Q39" s="552"/>
      <c r="R39" s="390"/>
      <c r="S39" s="390"/>
      <c r="T39" s="390"/>
      <c r="U39" s="390"/>
      <c r="V39" s="390"/>
      <c r="W39" s="553"/>
      <c r="X39" s="553"/>
      <c r="Y39" s="553"/>
      <c r="Z39" s="553"/>
      <c r="AA39" s="553"/>
      <c r="AB39" s="553"/>
      <c r="AC39" s="553"/>
      <c r="AD39" s="553"/>
      <c r="AE39" s="553"/>
      <c r="AF39" s="553"/>
      <c r="AG39" s="553"/>
      <c r="AH39" s="553"/>
      <c r="AI39" s="553"/>
      <c r="AJ39" s="553"/>
      <c r="AK39" s="553"/>
      <c r="AL39" s="553"/>
      <c r="AM39" s="553"/>
      <c r="AN39" s="553"/>
      <c r="AO39" s="553"/>
    </row>
    <row r="40" spans="1:41" ht="15.75">
      <c r="A40" s="391"/>
      <c r="B40" s="390"/>
      <c r="E40" s="552"/>
      <c r="F40" s="552"/>
      <c r="G40" s="552"/>
      <c r="H40" s="552"/>
      <c r="I40" s="552"/>
      <c r="J40" s="552"/>
      <c r="K40" s="552"/>
      <c r="L40" s="390"/>
      <c r="M40" s="552"/>
      <c r="N40" s="552"/>
      <c r="O40" s="552"/>
      <c r="P40" s="552"/>
      <c r="Q40" s="552"/>
      <c r="R40" s="390"/>
      <c r="S40" s="390"/>
      <c r="T40" s="390"/>
      <c r="U40" s="390"/>
      <c r="V40" s="390"/>
      <c r="W40" s="553"/>
      <c r="X40" s="553"/>
      <c r="Y40" s="553"/>
      <c r="Z40" s="553"/>
      <c r="AA40" s="553"/>
      <c r="AB40" s="553"/>
      <c r="AC40" s="553"/>
      <c r="AD40" s="553"/>
      <c r="AE40" s="553"/>
      <c r="AF40" s="553"/>
      <c r="AG40" s="553"/>
      <c r="AH40" s="553"/>
      <c r="AI40" s="553"/>
      <c r="AJ40" s="553"/>
      <c r="AK40" s="553"/>
      <c r="AL40" s="553"/>
      <c r="AM40" s="553"/>
      <c r="AN40" s="553"/>
      <c r="AO40" s="553"/>
    </row>
    <row r="41" spans="1:41" ht="15.75">
      <c r="A41" s="391"/>
      <c r="B41" s="390"/>
      <c r="E41" s="552"/>
      <c r="F41" s="552"/>
      <c r="G41" s="552"/>
      <c r="H41" s="552"/>
      <c r="I41" s="552"/>
      <c r="J41" s="552"/>
      <c r="K41" s="552"/>
      <c r="L41" s="390"/>
      <c r="M41" s="552"/>
      <c r="N41" s="552"/>
      <c r="O41" s="552"/>
      <c r="P41" s="552"/>
      <c r="Q41" s="552"/>
      <c r="R41" s="390"/>
      <c r="S41" s="390"/>
      <c r="T41" s="390"/>
      <c r="U41" s="390"/>
      <c r="V41" s="390"/>
      <c r="W41" s="553"/>
      <c r="X41" s="553"/>
      <c r="Y41" s="553"/>
      <c r="Z41" s="553"/>
      <c r="AA41" s="553"/>
      <c r="AB41" s="553"/>
      <c r="AC41" s="553"/>
      <c r="AD41" s="553"/>
      <c r="AE41" s="553"/>
      <c r="AF41" s="553"/>
      <c r="AG41" s="553"/>
      <c r="AH41" s="553"/>
      <c r="AI41" s="553"/>
      <c r="AJ41" s="553"/>
      <c r="AK41" s="553"/>
      <c r="AL41" s="553"/>
      <c r="AM41" s="553"/>
      <c r="AN41" s="553"/>
      <c r="AO41" s="553"/>
    </row>
    <row r="42" spans="1:41" ht="15.75">
      <c r="A42" s="391"/>
      <c r="B42" s="390"/>
      <c r="E42" s="552"/>
      <c r="F42" s="552"/>
      <c r="G42" s="552"/>
      <c r="H42" s="552"/>
      <c r="I42" s="552"/>
      <c r="J42" s="552"/>
      <c r="K42" s="552"/>
      <c r="L42" s="390"/>
      <c r="M42" s="552"/>
      <c r="N42" s="552"/>
      <c r="O42" s="552"/>
      <c r="P42" s="552"/>
      <c r="Q42" s="552"/>
      <c r="R42" s="390"/>
      <c r="S42" s="390"/>
      <c r="T42" s="390"/>
      <c r="U42" s="390"/>
      <c r="V42" s="390"/>
      <c r="W42" s="553"/>
      <c r="X42" s="553"/>
      <c r="Y42" s="553"/>
      <c r="Z42" s="553"/>
      <c r="AA42" s="553"/>
      <c r="AB42" s="553"/>
      <c r="AC42" s="553"/>
      <c r="AD42" s="553"/>
      <c r="AE42" s="553"/>
      <c r="AF42" s="553"/>
      <c r="AG42" s="553"/>
      <c r="AH42" s="553"/>
      <c r="AI42" s="553"/>
      <c r="AJ42" s="553"/>
      <c r="AK42" s="553"/>
      <c r="AL42" s="553"/>
      <c r="AM42" s="553"/>
      <c r="AN42" s="553"/>
      <c r="AO42" s="553"/>
    </row>
    <row r="43" spans="1:41" ht="15.75">
      <c r="A43" s="391"/>
      <c r="B43" s="390"/>
      <c r="E43" s="552"/>
      <c r="F43" s="552"/>
      <c r="G43" s="552"/>
      <c r="H43" s="552"/>
      <c r="I43" s="552"/>
      <c r="J43" s="552"/>
      <c r="K43" s="552"/>
      <c r="L43" s="390"/>
      <c r="M43" s="552"/>
      <c r="N43" s="552"/>
      <c r="O43" s="552"/>
      <c r="P43" s="552"/>
      <c r="Q43" s="552"/>
      <c r="R43" s="390"/>
      <c r="S43" s="390"/>
      <c r="T43" s="390"/>
      <c r="U43" s="390"/>
      <c r="V43" s="390"/>
      <c r="W43" s="553"/>
      <c r="X43" s="553"/>
      <c r="Y43" s="553"/>
      <c r="Z43" s="553"/>
      <c r="AA43" s="553"/>
      <c r="AB43" s="553"/>
      <c r="AC43" s="553"/>
      <c r="AD43" s="553"/>
      <c r="AE43" s="553"/>
      <c r="AF43" s="553"/>
      <c r="AG43" s="553"/>
      <c r="AH43" s="553"/>
      <c r="AI43" s="553"/>
      <c r="AJ43" s="553"/>
      <c r="AK43" s="553"/>
      <c r="AL43" s="553"/>
      <c r="AM43" s="553"/>
      <c r="AN43" s="553"/>
      <c r="AO43" s="553"/>
    </row>
    <row r="44" spans="1:41" ht="15.75">
      <c r="A44" s="391"/>
      <c r="B44" s="390"/>
      <c r="E44" s="552"/>
      <c r="F44" s="552"/>
      <c r="G44" s="552"/>
      <c r="H44" s="552"/>
      <c r="I44" s="552"/>
      <c r="J44" s="552"/>
      <c r="K44" s="552"/>
      <c r="L44" s="390"/>
      <c r="M44" s="552"/>
      <c r="N44" s="552"/>
      <c r="O44" s="552"/>
      <c r="P44" s="552"/>
      <c r="Q44" s="552"/>
      <c r="R44" s="390"/>
      <c r="S44" s="390"/>
      <c r="T44" s="390"/>
      <c r="U44" s="390"/>
      <c r="V44" s="390"/>
      <c r="W44" s="553"/>
      <c r="X44" s="553"/>
      <c r="Y44" s="553"/>
      <c r="Z44" s="553"/>
      <c r="AA44" s="553"/>
      <c r="AB44" s="553"/>
      <c r="AC44" s="553"/>
      <c r="AD44" s="553"/>
      <c r="AE44" s="553"/>
      <c r="AF44" s="553"/>
      <c r="AG44" s="553"/>
      <c r="AH44" s="553"/>
      <c r="AI44" s="553"/>
      <c r="AJ44" s="553"/>
      <c r="AK44" s="553"/>
      <c r="AL44" s="553"/>
      <c r="AM44" s="553"/>
      <c r="AN44" s="553"/>
      <c r="AO44" s="553"/>
    </row>
    <row r="45" spans="1:41" ht="15.75">
      <c r="A45" s="391"/>
      <c r="B45" s="390"/>
      <c r="E45" s="552"/>
      <c r="F45" s="552"/>
      <c r="G45" s="552"/>
      <c r="H45" s="552"/>
      <c r="I45" s="552"/>
      <c r="J45" s="552"/>
      <c r="K45" s="552"/>
      <c r="L45" s="390"/>
      <c r="M45" s="552"/>
      <c r="N45" s="552"/>
      <c r="O45" s="552"/>
      <c r="P45" s="552"/>
      <c r="Q45" s="552"/>
      <c r="R45" s="390"/>
      <c r="S45" s="390"/>
      <c r="T45" s="390"/>
      <c r="U45" s="390"/>
      <c r="V45" s="390"/>
      <c r="W45" s="553"/>
      <c r="X45" s="553"/>
      <c r="Y45" s="553"/>
      <c r="Z45" s="553"/>
      <c r="AA45" s="553"/>
      <c r="AB45" s="553"/>
      <c r="AC45" s="553"/>
      <c r="AD45" s="553"/>
      <c r="AE45" s="553"/>
      <c r="AF45" s="553"/>
      <c r="AG45" s="553"/>
      <c r="AH45" s="553"/>
      <c r="AI45" s="553"/>
      <c r="AJ45" s="553"/>
      <c r="AK45" s="553"/>
      <c r="AL45" s="553"/>
      <c r="AM45" s="553"/>
      <c r="AN45" s="553"/>
      <c r="AO45" s="553"/>
    </row>
    <row r="46" spans="1:41" ht="15.75">
      <c r="A46" s="391"/>
      <c r="B46" s="390"/>
      <c r="E46" s="552"/>
      <c r="F46" s="552"/>
      <c r="G46" s="552"/>
      <c r="H46" s="552"/>
      <c r="I46" s="552"/>
      <c r="J46" s="552"/>
      <c r="K46" s="552"/>
      <c r="L46" s="390"/>
      <c r="M46" s="552"/>
      <c r="N46" s="552"/>
      <c r="O46" s="552"/>
      <c r="P46" s="552"/>
      <c r="Q46" s="552"/>
      <c r="R46" s="390"/>
      <c r="S46" s="390"/>
      <c r="T46" s="390"/>
      <c r="U46" s="390"/>
      <c r="V46" s="390"/>
      <c r="W46" s="553"/>
      <c r="X46" s="553"/>
      <c r="Y46" s="553"/>
      <c r="Z46" s="553"/>
      <c r="AA46" s="553"/>
      <c r="AB46" s="553"/>
      <c r="AC46" s="553"/>
      <c r="AD46" s="553"/>
      <c r="AE46" s="553"/>
      <c r="AF46" s="553"/>
      <c r="AG46" s="553"/>
      <c r="AH46" s="553"/>
      <c r="AI46" s="553"/>
      <c r="AJ46" s="553"/>
      <c r="AK46" s="553"/>
      <c r="AL46" s="553"/>
      <c r="AM46" s="553"/>
      <c r="AN46" s="553"/>
      <c r="AO46" s="553"/>
    </row>
    <row r="47" spans="1:41" ht="15.75">
      <c r="A47" s="391"/>
      <c r="B47" s="390"/>
      <c r="E47" s="552"/>
      <c r="F47" s="552"/>
      <c r="G47" s="552"/>
      <c r="H47" s="552"/>
      <c r="I47" s="552"/>
      <c r="J47" s="552"/>
      <c r="K47" s="552"/>
      <c r="L47" s="390"/>
      <c r="M47" s="552"/>
      <c r="N47" s="552"/>
      <c r="O47" s="552"/>
      <c r="P47" s="552"/>
      <c r="Q47" s="552"/>
      <c r="R47" s="390"/>
      <c r="S47" s="390"/>
      <c r="T47" s="390"/>
      <c r="U47" s="390"/>
      <c r="V47" s="390"/>
      <c r="W47" s="553"/>
      <c r="X47" s="553"/>
      <c r="Y47" s="553"/>
      <c r="Z47" s="553"/>
      <c r="AA47" s="553"/>
      <c r="AB47" s="553"/>
      <c r="AC47" s="553"/>
      <c r="AD47" s="553"/>
      <c r="AE47" s="553"/>
      <c r="AF47" s="553"/>
      <c r="AG47" s="553"/>
      <c r="AH47" s="553"/>
      <c r="AI47" s="553"/>
      <c r="AJ47" s="553"/>
      <c r="AK47" s="553"/>
      <c r="AL47" s="553"/>
      <c r="AM47" s="553"/>
      <c r="AN47" s="553"/>
      <c r="AO47" s="553"/>
    </row>
    <row r="48" spans="1:41" ht="15.75">
      <c r="A48" s="391"/>
      <c r="B48" s="390"/>
      <c r="E48" s="552"/>
      <c r="F48" s="552"/>
      <c r="G48" s="552"/>
      <c r="H48" s="552"/>
      <c r="I48" s="552"/>
      <c r="J48" s="552"/>
      <c r="K48" s="552"/>
      <c r="L48" s="390"/>
      <c r="M48" s="552"/>
      <c r="N48" s="552"/>
      <c r="O48" s="552"/>
      <c r="P48" s="552"/>
      <c r="Q48" s="552"/>
      <c r="R48" s="390"/>
      <c r="S48" s="390"/>
      <c r="T48" s="390"/>
      <c r="U48" s="390"/>
      <c r="V48" s="390"/>
      <c r="W48" s="553"/>
      <c r="X48" s="553"/>
      <c r="Y48" s="553"/>
      <c r="Z48" s="553"/>
      <c r="AA48" s="553"/>
      <c r="AB48" s="553"/>
      <c r="AC48" s="553"/>
      <c r="AD48" s="553"/>
      <c r="AE48" s="553"/>
      <c r="AF48" s="553"/>
      <c r="AG48" s="553"/>
      <c r="AH48" s="553"/>
      <c r="AI48" s="553"/>
      <c r="AJ48" s="553"/>
      <c r="AK48" s="553"/>
      <c r="AL48" s="553"/>
      <c r="AM48" s="553"/>
      <c r="AN48" s="553"/>
      <c r="AO48" s="553"/>
    </row>
    <row r="49" spans="1:41" ht="15.75">
      <c r="I49" s="552"/>
      <c r="J49" s="552"/>
      <c r="K49" s="552"/>
      <c r="L49" s="390"/>
      <c r="M49" s="552"/>
      <c r="N49" s="552"/>
      <c r="O49" s="552"/>
      <c r="P49" s="552"/>
      <c r="Q49" s="552"/>
      <c r="R49" s="390"/>
      <c r="S49" s="390"/>
      <c r="T49" s="390"/>
      <c r="U49" s="390"/>
      <c r="V49" s="390"/>
      <c r="W49" s="553"/>
      <c r="X49" s="553"/>
      <c r="Y49" s="553"/>
      <c r="Z49" s="553"/>
      <c r="AA49" s="553"/>
      <c r="AB49" s="553"/>
      <c r="AC49" s="553"/>
      <c r="AD49" s="553"/>
      <c r="AE49" s="553"/>
      <c r="AF49" s="553"/>
      <c r="AG49" s="553"/>
      <c r="AH49" s="553"/>
      <c r="AI49" s="553"/>
      <c r="AJ49" s="553"/>
      <c r="AK49" s="553"/>
      <c r="AL49" s="553"/>
      <c r="AM49" s="553"/>
      <c r="AN49" s="553"/>
      <c r="AO49" s="553"/>
    </row>
    <row r="50" spans="1:41" ht="15.75">
      <c r="A50" s="391"/>
      <c r="B50" s="390"/>
      <c r="E50" s="552"/>
      <c r="F50" s="552"/>
      <c r="G50" s="552"/>
      <c r="H50" s="552"/>
      <c r="I50" s="552"/>
      <c r="J50" s="552"/>
      <c r="K50" s="552"/>
      <c r="L50" s="390"/>
      <c r="M50" s="552"/>
      <c r="N50" s="552"/>
      <c r="O50" s="552"/>
      <c r="P50" s="552"/>
      <c r="Q50" s="552"/>
      <c r="R50" s="390"/>
      <c r="S50" s="390"/>
      <c r="T50" s="390"/>
      <c r="U50" s="390"/>
      <c r="V50" s="390"/>
      <c r="W50" s="553"/>
      <c r="X50" s="553"/>
      <c r="Y50" s="553"/>
      <c r="Z50" s="553"/>
      <c r="AA50" s="553"/>
      <c r="AB50" s="553"/>
      <c r="AC50" s="553"/>
      <c r="AD50" s="553"/>
      <c r="AE50" s="553"/>
      <c r="AF50" s="553"/>
      <c r="AG50" s="553"/>
      <c r="AH50" s="553"/>
      <c r="AI50" s="553"/>
      <c r="AJ50" s="553"/>
      <c r="AK50" s="553"/>
      <c r="AL50" s="553"/>
      <c r="AM50" s="553"/>
      <c r="AN50" s="553"/>
      <c r="AO50" s="553"/>
    </row>
    <row r="51" spans="1:41" ht="15.75">
      <c r="A51" s="391"/>
      <c r="B51" s="390"/>
      <c r="E51" s="552"/>
      <c r="F51" s="552"/>
      <c r="G51" s="552"/>
      <c r="H51" s="552"/>
      <c r="I51" s="552"/>
      <c r="J51" s="552"/>
      <c r="K51" s="552"/>
      <c r="L51" s="390"/>
      <c r="M51" s="552"/>
      <c r="N51" s="552"/>
      <c r="O51" s="552"/>
      <c r="P51" s="552"/>
      <c r="Q51" s="552"/>
      <c r="R51" s="390"/>
      <c r="S51" s="390"/>
      <c r="T51" s="390"/>
      <c r="U51" s="390"/>
      <c r="V51" s="390"/>
      <c r="W51" s="553"/>
      <c r="X51" s="553"/>
      <c r="Y51" s="553"/>
      <c r="Z51" s="553"/>
      <c r="AA51" s="553"/>
      <c r="AB51" s="553"/>
      <c r="AC51" s="553"/>
      <c r="AD51" s="553"/>
      <c r="AE51" s="553"/>
      <c r="AF51" s="553"/>
      <c r="AG51" s="553"/>
      <c r="AH51" s="553"/>
      <c r="AI51" s="553"/>
      <c r="AJ51" s="553"/>
      <c r="AK51" s="553"/>
      <c r="AL51" s="553"/>
      <c r="AM51" s="553"/>
      <c r="AN51" s="553"/>
      <c r="AO51" s="553"/>
    </row>
    <row r="52" spans="1:41" ht="15.75">
      <c r="A52" s="391"/>
      <c r="B52" s="390"/>
      <c r="E52" s="552"/>
      <c r="F52" s="552"/>
      <c r="G52" s="552"/>
      <c r="H52" s="552"/>
      <c r="I52" s="552"/>
      <c r="J52" s="552"/>
      <c r="K52" s="552"/>
      <c r="L52" s="390"/>
      <c r="M52" s="552"/>
      <c r="N52" s="552"/>
      <c r="O52" s="552"/>
      <c r="P52" s="552"/>
      <c r="Q52" s="552"/>
      <c r="R52" s="390"/>
      <c r="S52" s="390"/>
      <c r="T52" s="390"/>
      <c r="U52" s="390"/>
      <c r="V52" s="390"/>
      <c r="W52" s="553"/>
      <c r="X52" s="553"/>
      <c r="Y52" s="553"/>
      <c r="Z52" s="553"/>
      <c r="AA52" s="553"/>
      <c r="AB52" s="553"/>
      <c r="AC52" s="553"/>
      <c r="AD52" s="553"/>
      <c r="AE52" s="553"/>
      <c r="AF52" s="553"/>
      <c r="AG52" s="553"/>
      <c r="AH52" s="553"/>
      <c r="AI52" s="553"/>
      <c r="AJ52" s="553"/>
      <c r="AK52" s="553"/>
      <c r="AL52" s="553"/>
      <c r="AM52" s="553"/>
      <c r="AN52" s="553"/>
      <c r="AO52" s="553"/>
    </row>
    <row r="53" spans="1:41" ht="15.75">
      <c r="A53" s="391"/>
      <c r="B53" s="390"/>
      <c r="E53" s="552"/>
      <c r="F53" s="552"/>
      <c r="G53" s="552"/>
      <c r="H53" s="552"/>
      <c r="I53" s="552"/>
      <c r="J53" s="552"/>
      <c r="K53" s="552"/>
      <c r="L53" s="390"/>
      <c r="M53" s="552"/>
      <c r="N53" s="552"/>
      <c r="O53" s="552"/>
      <c r="P53" s="552"/>
      <c r="Q53" s="552"/>
      <c r="R53" s="390"/>
      <c r="S53" s="390"/>
      <c r="T53" s="390"/>
      <c r="U53" s="390"/>
      <c r="V53" s="390"/>
      <c r="W53" s="553"/>
      <c r="X53" s="553"/>
      <c r="Y53" s="553"/>
      <c r="Z53" s="553"/>
      <c r="AA53" s="553"/>
      <c r="AB53" s="553"/>
      <c r="AC53" s="553"/>
      <c r="AD53" s="553"/>
      <c r="AE53" s="553"/>
      <c r="AF53" s="553"/>
      <c r="AG53" s="553"/>
      <c r="AH53" s="553"/>
      <c r="AI53" s="553"/>
      <c r="AJ53" s="553"/>
      <c r="AK53" s="553"/>
      <c r="AL53" s="553"/>
      <c r="AM53" s="553"/>
      <c r="AN53" s="553"/>
      <c r="AO53" s="553"/>
    </row>
    <row r="54" spans="1:41" ht="15.75">
      <c r="A54" s="391"/>
      <c r="B54" s="390"/>
      <c r="E54" s="552"/>
      <c r="F54" s="552"/>
      <c r="G54" s="552"/>
      <c r="H54" s="552"/>
      <c r="I54" s="552"/>
      <c r="J54" s="552"/>
      <c r="K54" s="552"/>
      <c r="L54" s="390"/>
      <c r="M54" s="552"/>
      <c r="N54" s="552"/>
      <c r="O54" s="552"/>
      <c r="P54" s="552"/>
      <c r="Q54" s="552"/>
      <c r="R54" s="390"/>
      <c r="S54" s="390"/>
      <c r="T54" s="390"/>
      <c r="U54" s="390"/>
      <c r="V54" s="390"/>
      <c r="W54" s="553"/>
      <c r="X54" s="553"/>
      <c r="Y54" s="553"/>
      <c r="Z54" s="553"/>
      <c r="AA54" s="553"/>
      <c r="AB54" s="553"/>
      <c r="AC54" s="553"/>
      <c r="AD54" s="553"/>
      <c r="AE54" s="553"/>
      <c r="AF54" s="553"/>
      <c r="AG54" s="553"/>
      <c r="AH54" s="553"/>
      <c r="AI54" s="553"/>
      <c r="AJ54" s="553"/>
      <c r="AK54" s="553"/>
      <c r="AL54" s="553"/>
      <c r="AM54" s="553"/>
      <c r="AN54" s="553"/>
      <c r="AO54" s="553"/>
    </row>
    <row r="55" spans="1:41" ht="15.75">
      <c r="A55" s="391"/>
      <c r="B55" s="390"/>
      <c r="E55" s="552"/>
      <c r="F55" s="552"/>
      <c r="G55" s="552"/>
      <c r="H55" s="552"/>
      <c r="I55" s="552"/>
      <c r="J55" s="552"/>
      <c r="K55" s="552"/>
      <c r="L55" s="390"/>
      <c r="M55" s="552"/>
      <c r="N55" s="552"/>
      <c r="O55" s="552"/>
      <c r="P55" s="552"/>
      <c r="Q55" s="552"/>
      <c r="R55" s="390"/>
      <c r="S55" s="390"/>
      <c r="T55" s="390"/>
      <c r="U55" s="390"/>
      <c r="V55" s="390"/>
      <c r="W55" s="553"/>
      <c r="X55" s="553"/>
      <c r="Y55" s="553"/>
      <c r="Z55" s="553"/>
      <c r="AA55" s="553"/>
      <c r="AB55" s="553"/>
      <c r="AC55" s="553"/>
      <c r="AD55" s="553"/>
      <c r="AE55" s="553"/>
      <c r="AF55" s="553"/>
      <c r="AG55" s="553"/>
      <c r="AH55" s="553"/>
      <c r="AI55" s="553"/>
      <c r="AJ55" s="553"/>
      <c r="AK55" s="553"/>
      <c r="AL55" s="553"/>
      <c r="AM55" s="553"/>
      <c r="AN55" s="553"/>
      <c r="AO55" s="553"/>
    </row>
    <row r="56" spans="1:41" ht="15.75">
      <c r="A56" s="391"/>
      <c r="B56" s="390"/>
      <c r="E56" s="552"/>
      <c r="F56" s="552"/>
      <c r="G56" s="552"/>
      <c r="H56" s="552"/>
      <c r="I56" s="552"/>
      <c r="J56" s="552"/>
      <c r="K56" s="552"/>
      <c r="L56" s="390"/>
      <c r="M56" s="552"/>
      <c r="N56" s="552"/>
      <c r="O56" s="552"/>
      <c r="P56" s="552"/>
      <c r="Q56" s="552"/>
      <c r="R56" s="390"/>
      <c r="S56" s="390"/>
      <c r="T56" s="390"/>
      <c r="U56" s="390"/>
      <c r="V56" s="390"/>
      <c r="W56" s="553"/>
      <c r="X56" s="553"/>
      <c r="Y56" s="553"/>
      <c r="Z56" s="553"/>
      <c r="AA56" s="553"/>
      <c r="AB56" s="553"/>
      <c r="AC56" s="553"/>
      <c r="AD56" s="553"/>
      <c r="AE56" s="553"/>
      <c r="AF56" s="553"/>
      <c r="AG56" s="553"/>
      <c r="AH56" s="553"/>
      <c r="AI56" s="553"/>
      <c r="AJ56" s="553"/>
      <c r="AK56" s="553"/>
      <c r="AL56" s="553"/>
      <c r="AM56" s="553"/>
      <c r="AN56" s="553"/>
      <c r="AO56" s="553"/>
    </row>
    <row r="57" spans="1:41" ht="15.75">
      <c r="A57" s="391"/>
      <c r="B57" s="390"/>
      <c r="E57" s="552"/>
      <c r="F57" s="552"/>
      <c r="G57" s="552"/>
      <c r="H57" s="552"/>
      <c r="I57" s="552"/>
      <c r="J57" s="552"/>
      <c r="K57" s="552"/>
      <c r="L57" s="390"/>
      <c r="M57" s="552"/>
      <c r="N57" s="552"/>
      <c r="O57" s="552"/>
      <c r="P57" s="552"/>
      <c r="Q57" s="552"/>
      <c r="R57" s="390"/>
      <c r="S57" s="390"/>
      <c r="T57" s="390"/>
      <c r="U57" s="390"/>
      <c r="V57" s="390"/>
      <c r="W57" s="553"/>
      <c r="X57" s="553"/>
      <c r="Y57" s="553"/>
      <c r="Z57" s="553"/>
      <c r="AA57" s="553"/>
      <c r="AB57" s="553"/>
      <c r="AC57" s="553"/>
      <c r="AD57" s="553"/>
      <c r="AE57" s="553"/>
      <c r="AF57" s="553"/>
      <c r="AG57" s="553"/>
      <c r="AH57" s="553"/>
      <c r="AI57" s="553"/>
      <c r="AJ57" s="553"/>
      <c r="AK57" s="553"/>
      <c r="AL57" s="553"/>
      <c r="AM57" s="553"/>
      <c r="AN57" s="553"/>
      <c r="AO57" s="553"/>
    </row>
    <row r="58" spans="1:41" ht="15.75">
      <c r="A58" s="391"/>
      <c r="B58" s="390"/>
      <c r="E58" s="552"/>
      <c r="F58" s="552"/>
      <c r="G58" s="552"/>
      <c r="H58" s="552"/>
      <c r="I58" s="552"/>
      <c r="J58" s="552"/>
      <c r="K58" s="552"/>
      <c r="L58" s="390"/>
      <c r="M58" s="552"/>
      <c r="N58" s="552"/>
      <c r="O58" s="552"/>
      <c r="P58" s="552"/>
      <c r="Q58" s="552"/>
      <c r="R58" s="390"/>
      <c r="S58" s="390"/>
      <c r="T58" s="390"/>
      <c r="U58" s="390"/>
      <c r="V58" s="390"/>
      <c r="W58" s="553"/>
      <c r="X58" s="553"/>
      <c r="Y58" s="553"/>
      <c r="Z58" s="553"/>
      <c r="AA58" s="553"/>
      <c r="AB58" s="553"/>
      <c r="AC58" s="553"/>
      <c r="AD58" s="553"/>
      <c r="AE58" s="553"/>
      <c r="AF58" s="553"/>
      <c r="AG58" s="553"/>
      <c r="AH58" s="553"/>
      <c r="AI58" s="553"/>
      <c r="AJ58" s="553"/>
      <c r="AK58" s="553"/>
      <c r="AL58" s="553"/>
      <c r="AM58" s="553"/>
      <c r="AN58" s="553"/>
      <c r="AO58" s="553"/>
    </row>
    <row r="59" spans="1:41" ht="15.75">
      <c r="A59" s="391"/>
      <c r="B59" s="390"/>
      <c r="E59" s="552"/>
      <c r="F59" s="552"/>
      <c r="G59" s="552"/>
      <c r="H59" s="552"/>
      <c r="I59" s="552"/>
      <c r="J59" s="552"/>
      <c r="K59" s="552"/>
      <c r="L59" s="390"/>
      <c r="M59" s="552"/>
      <c r="N59" s="552"/>
      <c r="O59" s="552"/>
      <c r="P59" s="552"/>
      <c r="Q59" s="552"/>
      <c r="R59" s="390"/>
      <c r="S59" s="390"/>
      <c r="T59" s="390"/>
      <c r="U59" s="390"/>
      <c r="V59" s="390"/>
      <c r="W59" s="553"/>
      <c r="X59" s="553"/>
      <c r="Y59" s="553"/>
      <c r="Z59" s="553"/>
      <c r="AA59" s="553"/>
      <c r="AB59" s="553"/>
      <c r="AC59" s="553"/>
      <c r="AD59" s="553"/>
      <c r="AE59" s="553"/>
      <c r="AF59" s="553"/>
      <c r="AG59" s="553"/>
      <c r="AH59" s="553"/>
      <c r="AI59" s="553"/>
      <c r="AJ59" s="553"/>
      <c r="AK59" s="553"/>
      <c r="AL59" s="553"/>
      <c r="AM59" s="553"/>
      <c r="AN59" s="553"/>
      <c r="AO59" s="553"/>
    </row>
    <row r="60" spans="1:41" ht="15.75">
      <c r="A60" s="391"/>
      <c r="B60" s="390"/>
      <c r="E60" s="552"/>
      <c r="F60" s="552"/>
      <c r="G60" s="552"/>
      <c r="H60" s="552"/>
      <c r="I60" s="552"/>
      <c r="J60" s="552"/>
      <c r="K60" s="552"/>
      <c r="L60" s="390"/>
      <c r="M60" s="552"/>
      <c r="N60" s="552"/>
      <c r="O60" s="552"/>
      <c r="P60" s="552"/>
      <c r="Q60" s="552"/>
      <c r="R60" s="390"/>
      <c r="S60" s="390"/>
      <c r="T60" s="390"/>
      <c r="U60" s="390"/>
      <c r="V60" s="390"/>
      <c r="W60" s="553"/>
      <c r="X60" s="553"/>
      <c r="Y60" s="553"/>
      <c r="Z60" s="553"/>
      <c r="AA60" s="553"/>
      <c r="AB60" s="553"/>
      <c r="AC60" s="553"/>
      <c r="AD60" s="553"/>
      <c r="AE60" s="553"/>
      <c r="AF60" s="553"/>
      <c r="AG60" s="553"/>
      <c r="AH60" s="553"/>
      <c r="AI60" s="553"/>
      <c r="AJ60" s="553"/>
      <c r="AK60" s="553"/>
      <c r="AL60" s="553"/>
      <c r="AM60" s="553"/>
      <c r="AN60" s="553"/>
      <c r="AO60" s="553"/>
    </row>
    <row r="61" spans="1:41" ht="15.75">
      <c r="A61" s="391"/>
      <c r="B61" s="390"/>
      <c r="E61" s="552"/>
      <c r="F61" s="552"/>
      <c r="G61" s="552"/>
      <c r="H61" s="552"/>
      <c r="I61" s="552"/>
      <c r="J61" s="552"/>
      <c r="K61" s="552"/>
      <c r="L61" s="390"/>
      <c r="M61" s="552"/>
      <c r="N61" s="552"/>
      <c r="O61" s="552"/>
      <c r="P61" s="552"/>
      <c r="Q61" s="552"/>
      <c r="R61" s="390"/>
      <c r="S61" s="390"/>
      <c r="T61" s="390"/>
      <c r="U61" s="390"/>
      <c r="V61" s="390"/>
      <c r="W61" s="553"/>
      <c r="X61" s="553"/>
      <c r="Y61" s="553"/>
      <c r="Z61" s="553"/>
      <c r="AA61" s="553"/>
      <c r="AB61" s="553"/>
      <c r="AC61" s="553"/>
      <c r="AD61" s="553"/>
      <c r="AE61" s="553"/>
      <c r="AF61" s="553"/>
      <c r="AG61" s="553"/>
      <c r="AH61" s="553"/>
      <c r="AI61" s="553"/>
      <c r="AJ61" s="553"/>
      <c r="AK61" s="553"/>
      <c r="AL61" s="553"/>
      <c r="AM61" s="553"/>
      <c r="AN61" s="553"/>
      <c r="AO61" s="553"/>
    </row>
    <row r="62" spans="1:41" ht="15.75">
      <c r="A62" s="391"/>
      <c r="B62" s="390"/>
      <c r="E62" s="552"/>
      <c r="F62" s="552"/>
      <c r="G62" s="552"/>
      <c r="H62" s="552"/>
      <c r="I62" s="552"/>
      <c r="J62" s="552"/>
      <c r="K62" s="552"/>
      <c r="L62" s="390"/>
      <c r="M62" s="552"/>
      <c r="N62" s="552"/>
      <c r="O62" s="552"/>
      <c r="P62" s="552"/>
      <c r="Q62" s="552"/>
      <c r="R62" s="390"/>
      <c r="S62" s="390"/>
      <c r="T62" s="390"/>
      <c r="U62" s="390"/>
      <c r="V62" s="390"/>
      <c r="W62" s="553"/>
      <c r="X62" s="553"/>
      <c r="Y62" s="553"/>
      <c r="Z62" s="553"/>
      <c r="AA62" s="553"/>
      <c r="AB62" s="553"/>
      <c r="AC62" s="553"/>
      <c r="AD62" s="553"/>
      <c r="AE62" s="553"/>
      <c r="AF62" s="553"/>
      <c r="AG62" s="553"/>
      <c r="AH62" s="553"/>
      <c r="AI62" s="553"/>
      <c r="AJ62" s="553"/>
      <c r="AK62" s="553"/>
      <c r="AL62" s="553"/>
      <c r="AM62" s="553"/>
      <c r="AN62" s="553"/>
      <c r="AO62" s="553"/>
    </row>
    <row r="63" spans="1:41" ht="15.75">
      <c r="A63" s="391"/>
      <c r="B63" s="390"/>
      <c r="E63" s="552"/>
      <c r="F63" s="552"/>
      <c r="G63" s="552"/>
      <c r="H63" s="552"/>
      <c r="I63" s="552"/>
      <c r="J63" s="552"/>
      <c r="K63" s="552"/>
      <c r="L63" s="390"/>
      <c r="M63" s="552"/>
      <c r="N63" s="552"/>
      <c r="O63" s="552"/>
      <c r="P63" s="552"/>
      <c r="Q63" s="552"/>
      <c r="R63" s="390"/>
      <c r="S63" s="390"/>
      <c r="T63" s="390"/>
      <c r="U63" s="390"/>
      <c r="V63" s="390"/>
      <c r="W63" s="553"/>
      <c r="X63" s="553"/>
      <c r="Y63" s="553"/>
      <c r="Z63" s="553"/>
      <c r="AA63" s="553"/>
      <c r="AB63" s="553"/>
      <c r="AC63" s="553"/>
      <c r="AD63" s="553"/>
      <c r="AE63" s="553"/>
      <c r="AF63" s="553"/>
      <c r="AG63" s="553"/>
      <c r="AH63" s="553"/>
      <c r="AI63" s="553"/>
      <c r="AJ63" s="553"/>
      <c r="AK63" s="553"/>
      <c r="AL63" s="553"/>
      <c r="AM63" s="553"/>
      <c r="AN63" s="553"/>
      <c r="AO63" s="553"/>
    </row>
    <row r="64" spans="1:41" ht="15.75">
      <c r="A64" s="391"/>
      <c r="B64" s="390"/>
      <c r="E64" s="552"/>
      <c r="F64" s="552"/>
      <c r="G64" s="552"/>
      <c r="H64" s="552"/>
      <c r="I64" s="552"/>
      <c r="J64" s="552"/>
      <c r="K64" s="552"/>
      <c r="L64" s="390"/>
      <c r="M64" s="552"/>
      <c r="N64" s="552"/>
      <c r="O64" s="552"/>
      <c r="P64" s="552"/>
      <c r="Q64" s="552"/>
      <c r="R64" s="390"/>
      <c r="S64" s="390"/>
      <c r="T64" s="390"/>
      <c r="U64" s="390"/>
      <c r="V64" s="390"/>
      <c r="W64" s="553"/>
      <c r="X64" s="553"/>
      <c r="Y64" s="553"/>
      <c r="Z64" s="553"/>
      <c r="AA64" s="553"/>
      <c r="AB64" s="553"/>
      <c r="AC64" s="553"/>
      <c r="AD64" s="553"/>
      <c r="AE64" s="553"/>
      <c r="AF64" s="553"/>
      <c r="AG64" s="553"/>
      <c r="AH64" s="553"/>
      <c r="AI64" s="553"/>
      <c r="AJ64" s="553"/>
      <c r="AK64" s="553"/>
      <c r="AL64" s="553"/>
      <c r="AM64" s="553"/>
      <c r="AN64" s="553"/>
      <c r="AO64" s="553"/>
    </row>
    <row r="65" spans="1:41" ht="15.75">
      <c r="A65" s="391"/>
      <c r="B65" s="390"/>
      <c r="E65" s="552"/>
      <c r="F65" s="552"/>
      <c r="G65" s="552"/>
      <c r="H65" s="552"/>
      <c r="I65" s="552"/>
      <c r="J65" s="552"/>
      <c r="K65" s="552"/>
      <c r="L65" s="390"/>
      <c r="M65" s="552"/>
      <c r="N65" s="552"/>
      <c r="O65" s="552"/>
      <c r="P65" s="552"/>
      <c r="Q65" s="552"/>
      <c r="R65" s="390"/>
      <c r="S65" s="390"/>
      <c r="T65" s="390"/>
      <c r="U65" s="390"/>
      <c r="V65" s="390"/>
      <c r="W65" s="553"/>
      <c r="X65" s="553"/>
      <c r="Y65" s="553"/>
      <c r="Z65" s="553"/>
      <c r="AA65" s="553"/>
      <c r="AB65" s="553"/>
      <c r="AC65" s="553"/>
      <c r="AD65" s="553"/>
      <c r="AE65" s="553"/>
      <c r="AF65" s="553"/>
      <c r="AG65" s="553"/>
      <c r="AH65" s="553"/>
      <c r="AI65" s="553"/>
      <c r="AJ65" s="553"/>
      <c r="AK65" s="553"/>
      <c r="AL65" s="553"/>
      <c r="AM65" s="553"/>
      <c r="AN65" s="553"/>
      <c r="AO65" s="553"/>
    </row>
    <row r="66" spans="1:41" ht="15.75">
      <c r="A66" s="391"/>
      <c r="B66" s="390"/>
      <c r="E66" s="552"/>
      <c r="F66" s="552"/>
      <c r="G66" s="552"/>
      <c r="H66" s="552"/>
      <c r="I66" s="552"/>
      <c r="J66" s="552"/>
      <c r="K66" s="552"/>
      <c r="L66" s="390"/>
      <c r="M66" s="552"/>
      <c r="N66" s="552"/>
      <c r="O66" s="552"/>
      <c r="P66" s="552"/>
      <c r="Q66" s="552"/>
      <c r="R66" s="390"/>
      <c r="S66" s="390"/>
      <c r="T66" s="390"/>
      <c r="U66" s="390"/>
      <c r="V66" s="390"/>
      <c r="W66" s="553"/>
      <c r="X66" s="553"/>
      <c r="Y66" s="553"/>
      <c r="Z66" s="553"/>
      <c r="AA66" s="553"/>
      <c r="AB66" s="553"/>
      <c r="AC66" s="553"/>
      <c r="AD66" s="553"/>
      <c r="AE66" s="553"/>
      <c r="AF66" s="553"/>
      <c r="AG66" s="553"/>
      <c r="AH66" s="553"/>
      <c r="AI66" s="553"/>
      <c r="AJ66" s="553"/>
      <c r="AK66" s="553"/>
      <c r="AL66" s="553"/>
      <c r="AM66" s="553"/>
      <c r="AN66" s="553"/>
      <c r="AO66" s="553"/>
    </row>
    <row r="67" spans="1:41" ht="15.75">
      <c r="A67" s="391"/>
      <c r="B67" s="390"/>
      <c r="E67" s="552"/>
      <c r="F67" s="552"/>
      <c r="G67" s="552"/>
      <c r="H67" s="552"/>
      <c r="I67" s="552"/>
      <c r="J67" s="552"/>
      <c r="K67" s="552"/>
      <c r="L67" s="390"/>
      <c r="M67" s="552"/>
      <c r="N67" s="552"/>
      <c r="O67" s="552"/>
      <c r="P67" s="552"/>
      <c r="Q67" s="552"/>
      <c r="R67" s="390"/>
      <c r="S67" s="390"/>
      <c r="T67" s="390"/>
      <c r="U67" s="390"/>
      <c r="V67" s="390"/>
      <c r="W67" s="553"/>
      <c r="X67" s="553"/>
      <c r="Y67" s="553"/>
      <c r="Z67" s="553"/>
      <c r="AA67" s="553"/>
      <c r="AB67" s="553"/>
      <c r="AC67" s="553"/>
      <c r="AD67" s="553"/>
      <c r="AE67" s="553"/>
      <c r="AF67" s="553"/>
      <c r="AG67" s="553"/>
      <c r="AH67" s="553"/>
      <c r="AI67" s="553"/>
      <c r="AJ67" s="553"/>
      <c r="AK67" s="553"/>
      <c r="AL67" s="553"/>
      <c r="AM67" s="553"/>
      <c r="AN67" s="553"/>
      <c r="AO67" s="553"/>
    </row>
    <row r="68" spans="1:41" ht="15.75">
      <c r="A68" s="391"/>
      <c r="B68" s="390"/>
      <c r="E68" s="552"/>
      <c r="F68" s="552"/>
      <c r="G68" s="552"/>
      <c r="H68" s="552"/>
      <c r="I68" s="552"/>
      <c r="J68" s="552"/>
      <c r="K68" s="552"/>
      <c r="L68" s="390"/>
      <c r="M68" s="552"/>
      <c r="N68" s="552"/>
      <c r="O68" s="552"/>
      <c r="P68" s="552"/>
      <c r="Q68" s="552"/>
      <c r="R68" s="390"/>
      <c r="S68" s="390"/>
      <c r="T68" s="390"/>
      <c r="U68" s="390"/>
      <c r="V68" s="390"/>
      <c r="W68" s="553"/>
      <c r="X68" s="553"/>
      <c r="Y68" s="553"/>
      <c r="Z68" s="553"/>
      <c r="AA68" s="553"/>
      <c r="AB68" s="553"/>
      <c r="AC68" s="553"/>
      <c r="AD68" s="553"/>
      <c r="AE68" s="553"/>
      <c r="AF68" s="553"/>
      <c r="AG68" s="553"/>
      <c r="AH68" s="553"/>
      <c r="AI68" s="553"/>
      <c r="AJ68" s="553"/>
      <c r="AK68" s="553"/>
      <c r="AL68" s="553"/>
      <c r="AM68" s="553"/>
      <c r="AN68" s="553"/>
      <c r="AO68" s="553"/>
    </row>
    <row r="69" spans="1:41" ht="15.75">
      <c r="A69" s="391"/>
      <c r="B69" s="390"/>
      <c r="E69" s="552"/>
      <c r="F69" s="552"/>
      <c r="G69" s="552"/>
      <c r="H69" s="552"/>
      <c r="I69" s="552"/>
      <c r="J69" s="552"/>
      <c r="K69" s="552"/>
      <c r="L69" s="390"/>
      <c r="M69" s="552"/>
      <c r="N69" s="552"/>
      <c r="O69" s="552"/>
      <c r="P69" s="552"/>
      <c r="Q69" s="552"/>
      <c r="R69" s="390"/>
      <c r="S69" s="390"/>
      <c r="T69" s="390"/>
      <c r="U69" s="390"/>
      <c r="V69" s="390"/>
      <c r="W69" s="553"/>
      <c r="X69" s="553"/>
      <c r="Y69" s="553"/>
      <c r="Z69" s="553"/>
      <c r="AA69" s="553"/>
      <c r="AB69" s="553"/>
      <c r="AC69" s="553"/>
      <c r="AD69" s="553"/>
      <c r="AE69" s="553"/>
      <c r="AF69" s="553"/>
      <c r="AG69" s="553"/>
      <c r="AH69" s="553"/>
      <c r="AI69" s="553"/>
      <c r="AJ69" s="553"/>
      <c r="AK69" s="553"/>
      <c r="AL69" s="553"/>
      <c r="AM69" s="553"/>
      <c r="AN69" s="553"/>
      <c r="AO69" s="553"/>
    </row>
    <row r="70" spans="1:41" ht="15.75">
      <c r="A70" s="391"/>
      <c r="B70" s="390"/>
      <c r="E70" s="552"/>
      <c r="F70" s="552"/>
      <c r="G70" s="552"/>
      <c r="H70" s="552"/>
      <c r="I70" s="552"/>
      <c r="J70" s="552"/>
      <c r="K70" s="552"/>
      <c r="L70" s="390"/>
      <c r="M70" s="552"/>
      <c r="N70" s="552"/>
      <c r="O70" s="552"/>
      <c r="P70" s="552"/>
      <c r="Q70" s="552"/>
      <c r="R70" s="390"/>
      <c r="S70" s="390"/>
      <c r="T70" s="390"/>
      <c r="U70" s="390"/>
      <c r="V70" s="390"/>
      <c r="W70" s="553"/>
      <c r="X70" s="553"/>
      <c r="Y70" s="553"/>
      <c r="Z70" s="553"/>
      <c r="AA70" s="553"/>
      <c r="AB70" s="553"/>
      <c r="AC70" s="553"/>
      <c r="AD70" s="553"/>
      <c r="AE70" s="553"/>
      <c r="AF70" s="553"/>
      <c r="AG70" s="553"/>
      <c r="AH70" s="553"/>
      <c r="AI70" s="553"/>
      <c r="AJ70" s="553"/>
      <c r="AK70" s="553"/>
      <c r="AL70" s="553"/>
      <c r="AM70" s="553"/>
      <c r="AN70" s="553"/>
      <c r="AO70" s="553"/>
    </row>
    <row r="71" spans="1:41" ht="15.75">
      <c r="A71" s="391"/>
      <c r="B71" s="390"/>
      <c r="E71" s="552"/>
      <c r="F71" s="552"/>
      <c r="G71" s="552"/>
      <c r="H71" s="552"/>
      <c r="I71" s="552"/>
      <c r="J71" s="552"/>
      <c r="K71" s="552"/>
      <c r="L71" s="390"/>
      <c r="M71" s="552"/>
      <c r="N71" s="552"/>
      <c r="O71" s="552"/>
      <c r="P71" s="552"/>
      <c r="Q71" s="552"/>
      <c r="R71" s="390"/>
      <c r="S71" s="390"/>
      <c r="T71" s="390"/>
      <c r="U71" s="390"/>
      <c r="V71" s="390"/>
      <c r="W71" s="553"/>
      <c r="X71" s="553"/>
      <c r="Y71" s="553"/>
      <c r="Z71" s="553"/>
      <c r="AA71" s="553"/>
      <c r="AB71" s="553"/>
      <c r="AC71" s="553"/>
      <c r="AD71" s="553"/>
      <c r="AE71" s="553"/>
      <c r="AF71" s="553"/>
      <c r="AG71" s="553"/>
      <c r="AH71" s="553"/>
      <c r="AI71" s="553"/>
      <c r="AJ71" s="553"/>
      <c r="AK71" s="553"/>
      <c r="AL71" s="553"/>
      <c r="AM71" s="553"/>
      <c r="AN71" s="553"/>
      <c r="AO71" s="553"/>
    </row>
    <row r="72" spans="1:41" ht="15.75">
      <c r="A72" s="391"/>
      <c r="B72" s="390"/>
      <c r="E72" s="552"/>
      <c r="F72" s="552"/>
      <c r="G72" s="552"/>
      <c r="H72" s="552"/>
      <c r="I72" s="552"/>
      <c r="J72" s="552"/>
      <c r="K72" s="552"/>
      <c r="L72" s="390"/>
      <c r="M72" s="552"/>
      <c r="N72" s="552"/>
      <c r="O72" s="552"/>
      <c r="P72" s="552"/>
      <c r="Q72" s="552"/>
      <c r="R72" s="390"/>
      <c r="S72" s="390"/>
      <c r="T72" s="390"/>
      <c r="U72" s="390"/>
      <c r="V72" s="390"/>
      <c r="W72" s="553"/>
      <c r="X72" s="553"/>
      <c r="Y72" s="553"/>
      <c r="Z72" s="553"/>
      <c r="AA72" s="553"/>
      <c r="AB72" s="553"/>
      <c r="AC72" s="553"/>
      <c r="AD72" s="553"/>
      <c r="AE72" s="553"/>
      <c r="AF72" s="553"/>
      <c r="AG72" s="553"/>
      <c r="AH72" s="553"/>
      <c r="AI72" s="553"/>
      <c r="AJ72" s="553"/>
      <c r="AK72" s="553"/>
      <c r="AL72" s="553"/>
      <c r="AM72" s="553"/>
      <c r="AN72" s="553"/>
      <c r="AO72" s="553"/>
    </row>
    <row r="73" spans="1:41" ht="15.75">
      <c r="A73" s="391"/>
      <c r="B73" s="390"/>
      <c r="E73" s="552"/>
      <c r="F73" s="552"/>
      <c r="G73" s="552"/>
      <c r="H73" s="552"/>
      <c r="I73" s="552"/>
      <c r="J73" s="552"/>
      <c r="K73" s="552"/>
      <c r="L73" s="390"/>
      <c r="M73" s="552"/>
      <c r="N73" s="552"/>
      <c r="O73" s="552"/>
      <c r="P73" s="552"/>
      <c r="Q73" s="552"/>
      <c r="R73" s="390"/>
      <c r="S73" s="390"/>
      <c r="T73" s="390"/>
      <c r="U73" s="390"/>
      <c r="V73" s="390"/>
      <c r="W73" s="553"/>
      <c r="X73" s="553"/>
      <c r="Y73" s="553"/>
      <c r="Z73" s="553"/>
      <c r="AA73" s="553"/>
      <c r="AB73" s="553"/>
      <c r="AC73" s="553"/>
      <c r="AD73" s="553"/>
      <c r="AE73" s="553"/>
      <c r="AF73" s="553"/>
      <c r="AG73" s="553"/>
      <c r="AH73" s="553"/>
      <c r="AI73" s="553"/>
      <c r="AJ73" s="553"/>
      <c r="AK73" s="553"/>
      <c r="AL73" s="553"/>
      <c r="AM73" s="553"/>
      <c r="AN73" s="553"/>
      <c r="AO73" s="553"/>
    </row>
    <row r="74" spans="1:41" ht="15.75">
      <c r="A74" s="391"/>
      <c r="B74" s="390"/>
      <c r="E74" s="552"/>
      <c r="F74" s="552"/>
      <c r="G74" s="552"/>
      <c r="H74" s="552"/>
      <c r="I74" s="552"/>
      <c r="J74" s="552"/>
      <c r="K74" s="552"/>
      <c r="L74" s="390"/>
      <c r="M74" s="552"/>
      <c r="N74" s="552"/>
      <c r="O74" s="552"/>
      <c r="P74" s="552"/>
      <c r="Q74" s="552"/>
      <c r="R74" s="390"/>
      <c r="S74" s="390"/>
      <c r="T74" s="390"/>
      <c r="U74" s="390"/>
      <c r="V74" s="390"/>
      <c r="W74" s="553"/>
      <c r="X74" s="553"/>
      <c r="Y74" s="553"/>
      <c r="Z74" s="553"/>
      <c r="AA74" s="553"/>
      <c r="AB74" s="553"/>
      <c r="AC74" s="553"/>
      <c r="AD74" s="553"/>
      <c r="AE74" s="553"/>
      <c r="AF74" s="553"/>
      <c r="AG74" s="553"/>
      <c r="AH74" s="553"/>
      <c r="AI74" s="553"/>
      <c r="AJ74" s="553"/>
      <c r="AK74" s="553"/>
      <c r="AL74" s="553"/>
      <c r="AM74" s="553"/>
      <c r="AN74" s="553"/>
      <c r="AO74" s="553"/>
    </row>
    <row r="75" spans="1:41" ht="15.75">
      <c r="A75" s="391"/>
      <c r="B75" s="390"/>
      <c r="E75" s="552"/>
      <c r="F75" s="552"/>
      <c r="G75" s="552"/>
      <c r="H75" s="552"/>
      <c r="I75" s="552"/>
      <c r="J75" s="552"/>
      <c r="K75" s="552"/>
      <c r="L75" s="390"/>
      <c r="M75" s="552"/>
      <c r="N75" s="552"/>
      <c r="O75" s="552"/>
      <c r="P75" s="552"/>
      <c r="Q75" s="552"/>
      <c r="R75" s="390"/>
      <c r="S75" s="390"/>
      <c r="T75" s="390"/>
      <c r="U75" s="390"/>
      <c r="V75" s="390"/>
      <c r="W75" s="553"/>
      <c r="X75" s="553"/>
      <c r="Y75" s="553"/>
      <c r="Z75" s="553"/>
      <c r="AA75" s="553"/>
      <c r="AB75" s="553"/>
      <c r="AC75" s="553"/>
      <c r="AD75" s="553"/>
      <c r="AE75" s="553"/>
      <c r="AF75" s="553"/>
      <c r="AG75" s="553"/>
      <c r="AH75" s="553"/>
      <c r="AI75" s="553"/>
      <c r="AJ75" s="553"/>
      <c r="AK75" s="553"/>
      <c r="AL75" s="553"/>
      <c r="AM75" s="553"/>
      <c r="AN75" s="553"/>
      <c r="AO75" s="553"/>
    </row>
    <row r="76" spans="1:41" ht="15.75">
      <c r="A76" s="391"/>
      <c r="B76" s="390"/>
      <c r="E76" s="552"/>
      <c r="F76" s="552"/>
      <c r="G76" s="552"/>
      <c r="H76" s="552"/>
      <c r="I76" s="552"/>
      <c r="J76" s="552"/>
      <c r="K76" s="552"/>
      <c r="L76" s="390"/>
      <c r="M76" s="552"/>
      <c r="N76" s="552"/>
      <c r="O76" s="552"/>
      <c r="P76" s="552"/>
      <c r="Q76" s="552"/>
      <c r="R76" s="390"/>
      <c r="S76" s="390"/>
      <c r="T76" s="390"/>
      <c r="U76" s="390"/>
      <c r="V76" s="390"/>
      <c r="W76" s="553"/>
      <c r="X76" s="553"/>
      <c r="Y76" s="553"/>
      <c r="Z76" s="553"/>
      <c r="AA76" s="553"/>
      <c r="AB76" s="553"/>
      <c r="AC76" s="553"/>
      <c r="AD76" s="553"/>
      <c r="AE76" s="553"/>
      <c r="AF76" s="553"/>
      <c r="AG76" s="553"/>
      <c r="AH76" s="553"/>
      <c r="AI76" s="553"/>
      <c r="AJ76" s="553"/>
      <c r="AK76" s="553"/>
      <c r="AL76" s="553"/>
      <c r="AM76" s="553"/>
      <c r="AN76" s="553"/>
      <c r="AO76" s="553"/>
    </row>
    <row r="77" spans="1:41" ht="15.75">
      <c r="A77" s="391"/>
      <c r="B77" s="390"/>
      <c r="E77" s="552"/>
      <c r="F77" s="552"/>
      <c r="G77" s="552"/>
      <c r="H77" s="552"/>
      <c r="I77" s="552"/>
      <c r="J77" s="552"/>
      <c r="K77" s="552"/>
      <c r="L77" s="390"/>
      <c r="M77" s="552"/>
      <c r="N77" s="552"/>
      <c r="O77" s="552"/>
      <c r="P77" s="552"/>
      <c r="Q77" s="552"/>
      <c r="R77" s="390"/>
      <c r="S77" s="390"/>
      <c r="T77" s="390"/>
      <c r="U77" s="390"/>
      <c r="V77" s="390"/>
      <c r="W77" s="553"/>
      <c r="X77" s="553"/>
      <c r="Y77" s="553"/>
      <c r="Z77" s="553"/>
      <c r="AA77" s="553"/>
      <c r="AB77" s="553"/>
      <c r="AC77" s="553"/>
      <c r="AD77" s="553"/>
      <c r="AE77" s="553"/>
      <c r="AF77" s="553"/>
      <c r="AG77" s="553"/>
      <c r="AH77" s="553"/>
      <c r="AI77" s="553"/>
      <c r="AJ77" s="553"/>
      <c r="AK77" s="553"/>
      <c r="AL77" s="553"/>
      <c r="AM77" s="553"/>
      <c r="AN77" s="553"/>
      <c r="AO77" s="553"/>
    </row>
    <row r="78" spans="1:41" ht="15.75">
      <c r="A78" s="391"/>
      <c r="B78" s="390"/>
      <c r="E78" s="552"/>
      <c r="F78" s="552"/>
      <c r="G78" s="552"/>
      <c r="H78" s="552"/>
      <c r="I78" s="552"/>
      <c r="J78" s="552"/>
      <c r="K78" s="552"/>
      <c r="L78" s="390"/>
      <c r="M78" s="552"/>
      <c r="N78" s="552"/>
      <c r="O78" s="552"/>
      <c r="P78" s="552"/>
      <c r="Q78" s="552"/>
      <c r="R78" s="390"/>
      <c r="S78" s="390"/>
      <c r="T78" s="390"/>
      <c r="U78" s="390"/>
      <c r="V78" s="390"/>
      <c r="W78" s="553"/>
      <c r="X78" s="553"/>
      <c r="Y78" s="553"/>
      <c r="Z78" s="553"/>
      <c r="AA78" s="553"/>
      <c r="AB78" s="553"/>
      <c r="AC78" s="553"/>
      <c r="AD78" s="553"/>
      <c r="AE78" s="553"/>
      <c r="AF78" s="553"/>
      <c r="AG78" s="553"/>
      <c r="AH78" s="553"/>
      <c r="AI78" s="553"/>
      <c r="AJ78" s="553"/>
      <c r="AK78" s="553"/>
      <c r="AL78" s="553"/>
      <c r="AM78" s="553"/>
      <c r="AN78" s="553"/>
      <c r="AO78" s="553"/>
    </row>
    <row r="79" spans="1:41" ht="15.75">
      <c r="A79" s="391"/>
      <c r="B79" s="390"/>
      <c r="E79" s="552"/>
      <c r="F79" s="552"/>
      <c r="G79" s="552"/>
      <c r="H79" s="552"/>
      <c r="I79" s="552"/>
      <c r="J79" s="552"/>
      <c r="K79" s="552"/>
      <c r="L79" s="390"/>
      <c r="M79" s="552"/>
      <c r="N79" s="552"/>
      <c r="O79" s="552"/>
      <c r="P79" s="552"/>
      <c r="Q79" s="552"/>
      <c r="R79" s="390"/>
      <c r="S79" s="390"/>
      <c r="T79" s="390"/>
      <c r="U79" s="390"/>
      <c r="V79" s="390"/>
      <c r="W79" s="553"/>
      <c r="X79" s="553"/>
      <c r="Y79" s="553"/>
      <c r="Z79" s="553"/>
      <c r="AA79" s="553"/>
      <c r="AB79" s="553"/>
      <c r="AC79" s="553"/>
      <c r="AD79" s="553"/>
      <c r="AE79" s="553"/>
      <c r="AF79" s="553"/>
      <c r="AG79" s="553"/>
      <c r="AH79" s="553"/>
      <c r="AI79" s="553"/>
      <c r="AJ79" s="553"/>
      <c r="AK79" s="553"/>
      <c r="AL79" s="553"/>
      <c r="AM79" s="553"/>
      <c r="AN79" s="553"/>
      <c r="AO79" s="553"/>
    </row>
    <row r="80" spans="1:41" ht="15.75">
      <c r="A80" s="391"/>
      <c r="B80" s="390"/>
      <c r="E80" s="552"/>
      <c r="F80" s="552"/>
      <c r="G80" s="552"/>
      <c r="H80" s="552"/>
      <c r="I80" s="552"/>
      <c r="J80" s="552"/>
      <c r="K80" s="552"/>
      <c r="L80" s="390"/>
      <c r="M80" s="552"/>
      <c r="N80" s="552"/>
      <c r="O80" s="552"/>
      <c r="P80" s="552"/>
      <c r="Q80" s="552"/>
      <c r="R80" s="390"/>
      <c r="S80" s="390"/>
      <c r="T80" s="390"/>
      <c r="U80" s="390"/>
      <c r="V80" s="390"/>
      <c r="W80" s="553"/>
      <c r="X80" s="553"/>
      <c r="Y80" s="553"/>
      <c r="Z80" s="553"/>
      <c r="AA80" s="553"/>
      <c r="AB80" s="553"/>
      <c r="AC80" s="553"/>
      <c r="AD80" s="553"/>
      <c r="AE80" s="553"/>
      <c r="AF80" s="553"/>
      <c r="AG80" s="553"/>
      <c r="AH80" s="553"/>
      <c r="AI80" s="553"/>
      <c r="AJ80" s="553"/>
      <c r="AK80" s="553"/>
      <c r="AL80" s="553"/>
      <c r="AM80" s="553"/>
      <c r="AN80" s="553"/>
      <c r="AO80" s="553"/>
    </row>
    <row r="81" spans="1:41" ht="15.75">
      <c r="A81" s="391"/>
      <c r="B81" s="390"/>
      <c r="E81" s="552"/>
      <c r="F81" s="552"/>
      <c r="G81" s="552"/>
      <c r="H81" s="552"/>
      <c r="I81" s="552"/>
      <c r="J81" s="552"/>
      <c r="K81" s="552"/>
      <c r="L81" s="390"/>
      <c r="M81" s="552"/>
      <c r="N81" s="552"/>
      <c r="O81" s="552"/>
      <c r="P81" s="552"/>
      <c r="Q81" s="552"/>
      <c r="R81" s="390"/>
      <c r="S81" s="390"/>
      <c r="T81" s="390"/>
      <c r="U81" s="390"/>
      <c r="V81" s="390"/>
      <c r="W81" s="553"/>
      <c r="X81" s="553"/>
      <c r="Y81" s="553"/>
      <c r="Z81" s="553"/>
      <c r="AA81" s="553"/>
      <c r="AB81" s="553"/>
      <c r="AC81" s="553"/>
      <c r="AD81" s="553"/>
      <c r="AE81" s="553"/>
      <c r="AF81" s="553"/>
      <c r="AG81" s="553"/>
      <c r="AH81" s="553"/>
      <c r="AI81" s="553"/>
      <c r="AJ81" s="553"/>
      <c r="AK81" s="553"/>
      <c r="AL81" s="553"/>
      <c r="AM81" s="553"/>
      <c r="AN81" s="553"/>
      <c r="AO81" s="553"/>
    </row>
    <row r="82" spans="1:41" ht="15.75">
      <c r="A82" s="391"/>
      <c r="B82" s="390"/>
      <c r="E82" s="552"/>
      <c r="F82" s="552"/>
      <c r="G82" s="552"/>
      <c r="H82" s="552"/>
      <c r="I82" s="552"/>
      <c r="J82" s="552"/>
      <c r="K82" s="552"/>
      <c r="L82" s="390"/>
      <c r="M82" s="552"/>
      <c r="N82" s="552"/>
      <c r="O82" s="552"/>
      <c r="P82" s="552"/>
      <c r="Q82" s="552"/>
      <c r="R82" s="390"/>
      <c r="S82" s="390"/>
      <c r="T82" s="390"/>
      <c r="U82" s="390"/>
      <c r="V82" s="390"/>
      <c r="W82" s="553"/>
      <c r="X82" s="553"/>
      <c r="Y82" s="553"/>
      <c r="Z82" s="553"/>
      <c r="AA82" s="553"/>
      <c r="AB82" s="553"/>
      <c r="AC82" s="553"/>
      <c r="AD82" s="553"/>
      <c r="AE82" s="553"/>
      <c r="AF82" s="553"/>
      <c r="AG82" s="553"/>
      <c r="AH82" s="553"/>
      <c r="AI82" s="553"/>
      <c r="AJ82" s="553"/>
      <c r="AK82" s="553"/>
      <c r="AL82" s="553"/>
      <c r="AM82" s="553"/>
      <c r="AN82" s="553"/>
      <c r="AO82" s="553"/>
    </row>
    <row r="83" spans="1:41" ht="15.75">
      <c r="A83" s="391"/>
      <c r="B83" s="390"/>
      <c r="E83" s="552"/>
      <c r="F83" s="552"/>
      <c r="G83" s="552"/>
      <c r="H83" s="552"/>
      <c r="I83" s="552"/>
      <c r="J83" s="552"/>
      <c r="K83" s="552"/>
      <c r="L83" s="390"/>
      <c r="M83" s="552"/>
      <c r="N83" s="552"/>
      <c r="O83" s="552"/>
      <c r="P83" s="552"/>
      <c r="Q83" s="552"/>
      <c r="R83" s="390"/>
      <c r="S83" s="390"/>
      <c r="T83" s="390"/>
      <c r="U83" s="390"/>
      <c r="V83" s="390"/>
      <c r="W83" s="553"/>
      <c r="X83" s="553"/>
      <c r="Y83" s="553"/>
      <c r="Z83" s="553"/>
      <c r="AA83" s="553"/>
      <c r="AB83" s="553"/>
      <c r="AC83" s="553"/>
      <c r="AD83" s="553"/>
      <c r="AE83" s="553"/>
      <c r="AF83" s="553"/>
      <c r="AG83" s="553"/>
      <c r="AH83" s="553"/>
      <c r="AI83" s="553"/>
      <c r="AJ83" s="553"/>
      <c r="AK83" s="553"/>
      <c r="AL83" s="553"/>
      <c r="AM83" s="553"/>
      <c r="AN83" s="553"/>
      <c r="AO83" s="553"/>
    </row>
    <row r="84" spans="1:41" ht="15.75">
      <c r="A84" s="391"/>
      <c r="B84" s="390"/>
      <c r="E84" s="552"/>
      <c r="F84" s="552"/>
      <c r="G84" s="552"/>
      <c r="H84" s="552"/>
      <c r="I84" s="552"/>
      <c r="J84" s="552"/>
      <c r="K84" s="552"/>
      <c r="L84" s="390"/>
      <c r="M84" s="552"/>
      <c r="N84" s="552"/>
      <c r="O84" s="552"/>
      <c r="P84" s="552"/>
      <c r="Q84" s="552"/>
      <c r="R84" s="390"/>
      <c r="S84" s="390"/>
      <c r="T84" s="390"/>
      <c r="U84" s="390"/>
      <c r="V84" s="390"/>
      <c r="W84" s="553"/>
      <c r="X84" s="553"/>
      <c r="Y84" s="553"/>
      <c r="Z84" s="553"/>
      <c r="AA84" s="553"/>
      <c r="AB84" s="553"/>
      <c r="AC84" s="553"/>
      <c r="AD84" s="553"/>
      <c r="AE84" s="553"/>
      <c r="AF84" s="553"/>
      <c r="AG84" s="553"/>
      <c r="AH84" s="553"/>
      <c r="AI84" s="553"/>
      <c r="AJ84" s="553"/>
      <c r="AK84" s="553"/>
      <c r="AL84" s="553"/>
      <c r="AM84" s="553"/>
      <c r="AN84" s="553"/>
      <c r="AO84" s="553"/>
    </row>
    <row r="85" spans="1:41" ht="15.75">
      <c r="A85" s="391"/>
      <c r="B85" s="390"/>
      <c r="E85" s="552"/>
      <c r="F85" s="552"/>
      <c r="G85" s="552"/>
      <c r="H85" s="552"/>
      <c r="I85" s="552"/>
      <c r="J85" s="552"/>
      <c r="K85" s="552"/>
      <c r="L85" s="390"/>
      <c r="M85" s="552"/>
      <c r="N85" s="552"/>
      <c r="O85" s="552"/>
      <c r="P85" s="552"/>
      <c r="Q85" s="552"/>
      <c r="R85" s="390"/>
      <c r="S85" s="390"/>
      <c r="T85" s="390"/>
      <c r="U85" s="390"/>
      <c r="V85" s="390"/>
      <c r="W85" s="553"/>
      <c r="X85" s="553"/>
      <c r="Y85" s="553"/>
      <c r="Z85" s="553"/>
      <c r="AA85" s="553"/>
      <c r="AB85" s="553"/>
      <c r="AC85" s="553"/>
      <c r="AD85" s="553"/>
      <c r="AE85" s="553"/>
      <c r="AF85" s="553"/>
      <c r="AG85" s="553"/>
      <c r="AH85" s="553"/>
      <c r="AI85" s="553"/>
      <c r="AJ85" s="553"/>
      <c r="AK85" s="553"/>
      <c r="AL85" s="553"/>
      <c r="AM85" s="553"/>
      <c r="AN85" s="553"/>
      <c r="AO85" s="553"/>
    </row>
    <row r="86" spans="1:41" ht="15.75">
      <c r="A86" s="391"/>
      <c r="B86" s="390"/>
      <c r="E86" s="552"/>
      <c r="F86" s="552"/>
      <c r="G86" s="552"/>
      <c r="H86" s="552"/>
      <c r="I86" s="552"/>
      <c r="J86" s="552"/>
      <c r="K86" s="552"/>
      <c r="L86" s="390"/>
      <c r="M86" s="552"/>
      <c r="N86" s="552"/>
      <c r="O86" s="552"/>
      <c r="P86" s="552"/>
      <c r="Q86" s="552"/>
      <c r="R86" s="390"/>
      <c r="S86" s="390"/>
      <c r="T86" s="390"/>
      <c r="U86" s="390"/>
      <c r="V86" s="390"/>
      <c r="W86" s="553"/>
      <c r="X86" s="553"/>
      <c r="Y86" s="553"/>
      <c r="Z86" s="553"/>
      <c r="AA86" s="553"/>
      <c r="AB86" s="553"/>
      <c r="AC86" s="553"/>
      <c r="AD86" s="553"/>
      <c r="AE86" s="553"/>
      <c r="AF86" s="553"/>
      <c r="AG86" s="553"/>
      <c r="AH86" s="553"/>
      <c r="AI86" s="553"/>
      <c r="AJ86" s="553"/>
      <c r="AK86" s="553"/>
      <c r="AL86" s="553"/>
      <c r="AM86" s="553"/>
      <c r="AN86" s="553"/>
      <c r="AO86" s="553"/>
    </row>
    <row r="87" spans="1:41" ht="15.75">
      <c r="A87" s="391"/>
      <c r="B87" s="390"/>
      <c r="E87" s="552"/>
      <c r="F87" s="552"/>
      <c r="G87" s="552"/>
      <c r="H87" s="552"/>
      <c r="I87" s="552"/>
      <c r="J87" s="552"/>
      <c r="K87" s="552"/>
      <c r="L87" s="390"/>
      <c r="M87" s="552"/>
      <c r="N87" s="552"/>
      <c r="O87" s="552"/>
      <c r="P87" s="552"/>
      <c r="Q87" s="552"/>
      <c r="R87" s="390"/>
      <c r="S87" s="390"/>
      <c r="T87" s="390"/>
      <c r="U87" s="390"/>
      <c r="V87" s="390"/>
      <c r="W87" s="553"/>
      <c r="X87" s="553"/>
      <c r="Y87" s="553"/>
      <c r="Z87" s="553"/>
      <c r="AA87" s="553"/>
      <c r="AB87" s="553"/>
      <c r="AC87" s="553"/>
      <c r="AD87" s="553"/>
      <c r="AE87" s="553"/>
      <c r="AF87" s="553"/>
      <c r="AG87" s="553"/>
      <c r="AH87" s="553"/>
      <c r="AI87" s="553"/>
      <c r="AJ87" s="553"/>
      <c r="AK87" s="553"/>
      <c r="AL87" s="553"/>
      <c r="AM87" s="553"/>
      <c r="AN87" s="553"/>
      <c r="AO87" s="553"/>
    </row>
    <row r="88" spans="1:41" ht="15.75">
      <c r="A88" s="391"/>
      <c r="B88" s="390"/>
      <c r="E88" s="552"/>
      <c r="F88" s="552"/>
      <c r="G88" s="552"/>
      <c r="H88" s="552"/>
      <c r="I88" s="552"/>
      <c r="J88" s="552"/>
      <c r="K88" s="552"/>
      <c r="L88" s="390"/>
      <c r="M88" s="552"/>
      <c r="N88" s="552"/>
      <c r="O88" s="552"/>
      <c r="P88" s="552"/>
      <c r="Q88" s="552"/>
      <c r="R88" s="390"/>
      <c r="S88" s="390"/>
      <c r="T88" s="390"/>
      <c r="U88" s="390"/>
      <c r="V88" s="390"/>
      <c r="W88" s="553"/>
      <c r="X88" s="553"/>
      <c r="Y88" s="553"/>
      <c r="Z88" s="553"/>
      <c r="AA88" s="553"/>
      <c r="AB88" s="553"/>
      <c r="AC88" s="553"/>
      <c r="AD88" s="553"/>
      <c r="AE88" s="553"/>
      <c r="AF88" s="553"/>
      <c r="AG88" s="553"/>
      <c r="AH88" s="553"/>
      <c r="AI88" s="553"/>
      <c r="AJ88" s="553"/>
      <c r="AK88" s="553"/>
      <c r="AL88" s="553"/>
      <c r="AM88" s="553"/>
      <c r="AN88" s="553"/>
      <c r="AO88" s="553"/>
    </row>
    <row r="89" spans="1:41" ht="15.75">
      <c r="A89" s="391"/>
      <c r="B89" s="390"/>
      <c r="E89" s="552"/>
      <c r="F89" s="552"/>
      <c r="G89" s="552"/>
      <c r="H89" s="552"/>
      <c r="I89" s="552"/>
      <c r="J89" s="552"/>
      <c r="K89" s="552"/>
      <c r="L89" s="390"/>
      <c r="M89" s="552"/>
      <c r="N89" s="552"/>
      <c r="O89" s="552"/>
      <c r="P89" s="552"/>
      <c r="Q89" s="552"/>
      <c r="R89" s="390"/>
      <c r="S89" s="390"/>
      <c r="T89" s="390"/>
      <c r="U89" s="390"/>
      <c r="V89" s="390"/>
      <c r="W89" s="553"/>
      <c r="X89" s="553"/>
      <c r="Y89" s="553"/>
      <c r="Z89" s="553"/>
      <c r="AA89" s="553"/>
      <c r="AB89" s="553"/>
      <c r="AC89" s="553"/>
      <c r="AD89" s="553"/>
      <c r="AE89" s="553"/>
      <c r="AF89" s="553"/>
      <c r="AG89" s="553"/>
      <c r="AH89" s="553"/>
      <c r="AI89" s="553"/>
      <c r="AJ89" s="553"/>
      <c r="AK89" s="553"/>
      <c r="AL89" s="553"/>
      <c r="AM89" s="553"/>
      <c r="AN89" s="553"/>
      <c r="AO89" s="553"/>
    </row>
    <row r="90" spans="1:41" ht="15.75">
      <c r="A90" s="391"/>
      <c r="B90" s="390"/>
      <c r="E90" s="552"/>
      <c r="F90" s="552"/>
      <c r="G90" s="552"/>
      <c r="H90" s="552"/>
      <c r="I90" s="552"/>
      <c r="J90" s="552"/>
      <c r="K90" s="552"/>
      <c r="L90" s="390"/>
      <c r="M90" s="552"/>
      <c r="N90" s="552"/>
      <c r="O90" s="552"/>
      <c r="P90" s="552"/>
      <c r="Q90" s="552"/>
      <c r="R90" s="390"/>
      <c r="S90" s="390"/>
      <c r="T90" s="390"/>
      <c r="U90" s="390"/>
      <c r="V90" s="390"/>
      <c r="W90" s="553"/>
      <c r="X90" s="553"/>
      <c r="Y90" s="553"/>
      <c r="Z90" s="553"/>
      <c r="AA90" s="553"/>
      <c r="AB90" s="553"/>
      <c r="AC90" s="553"/>
      <c r="AD90" s="553"/>
      <c r="AE90" s="553"/>
      <c r="AF90" s="553"/>
      <c r="AG90" s="553"/>
      <c r="AH90" s="553"/>
      <c r="AI90" s="553"/>
      <c r="AJ90" s="553"/>
      <c r="AK90" s="553"/>
      <c r="AL90" s="553"/>
      <c r="AM90" s="553"/>
      <c r="AN90" s="553"/>
      <c r="AO90" s="553"/>
    </row>
    <row r="91" spans="1:41" ht="15.75">
      <c r="A91" s="391"/>
      <c r="B91" s="390"/>
      <c r="E91" s="552"/>
      <c r="F91" s="552"/>
      <c r="G91" s="552"/>
      <c r="H91" s="552"/>
      <c r="I91" s="552"/>
      <c r="J91" s="552"/>
      <c r="K91" s="552"/>
      <c r="L91" s="390"/>
      <c r="M91" s="552"/>
      <c r="N91" s="552"/>
      <c r="O91" s="552"/>
      <c r="P91" s="552"/>
      <c r="Q91" s="552"/>
      <c r="R91" s="390"/>
      <c r="S91" s="390"/>
      <c r="T91" s="390"/>
      <c r="U91" s="390"/>
      <c r="V91" s="390"/>
      <c r="W91" s="553"/>
      <c r="X91" s="553"/>
      <c r="Y91" s="553"/>
      <c r="Z91" s="553"/>
      <c r="AA91" s="553"/>
      <c r="AB91" s="553"/>
      <c r="AC91" s="553"/>
      <c r="AD91" s="553"/>
      <c r="AE91" s="553"/>
      <c r="AF91" s="553"/>
      <c r="AG91" s="553"/>
      <c r="AH91" s="553"/>
      <c r="AI91" s="553"/>
      <c r="AJ91" s="553"/>
      <c r="AK91" s="553"/>
      <c r="AL91" s="553"/>
      <c r="AM91" s="553"/>
      <c r="AN91" s="553"/>
      <c r="AO91" s="553"/>
    </row>
    <row r="92" spans="1:41" ht="15.75">
      <c r="A92" s="391"/>
      <c r="B92" s="390"/>
      <c r="E92" s="552"/>
      <c r="F92" s="552"/>
      <c r="G92" s="552"/>
      <c r="H92" s="552"/>
      <c r="I92" s="552"/>
      <c r="J92" s="552"/>
      <c r="K92" s="552"/>
      <c r="L92" s="390"/>
      <c r="M92" s="552"/>
      <c r="N92" s="552"/>
      <c r="O92" s="552"/>
      <c r="P92" s="552"/>
      <c r="Q92" s="552"/>
      <c r="R92" s="390"/>
      <c r="S92" s="390"/>
      <c r="T92" s="390"/>
      <c r="U92" s="390"/>
      <c r="V92" s="390"/>
      <c r="W92" s="553"/>
      <c r="X92" s="553"/>
      <c r="Y92" s="553"/>
      <c r="Z92" s="553"/>
      <c r="AA92" s="553"/>
      <c r="AB92" s="553"/>
      <c r="AC92" s="553"/>
      <c r="AD92" s="553"/>
      <c r="AE92" s="553"/>
      <c r="AF92" s="553"/>
      <c r="AG92" s="553"/>
      <c r="AH92" s="553"/>
      <c r="AI92" s="553"/>
      <c r="AJ92" s="553"/>
      <c r="AK92" s="553"/>
      <c r="AL92" s="553"/>
      <c r="AM92" s="553"/>
      <c r="AN92" s="553"/>
      <c r="AO92" s="553"/>
    </row>
    <row r="93" spans="1:41" ht="15.75">
      <c r="A93" s="391"/>
      <c r="B93" s="390"/>
      <c r="E93" s="552"/>
      <c r="F93" s="552"/>
      <c r="G93" s="552"/>
      <c r="H93" s="552"/>
      <c r="I93" s="552"/>
      <c r="J93" s="552"/>
      <c r="K93" s="552"/>
      <c r="L93" s="390"/>
      <c r="M93" s="552"/>
      <c r="N93" s="552"/>
      <c r="O93" s="552"/>
      <c r="P93" s="552"/>
      <c r="Q93" s="552"/>
      <c r="R93" s="390"/>
      <c r="S93" s="390"/>
      <c r="T93" s="390"/>
      <c r="U93" s="390"/>
      <c r="V93" s="390"/>
      <c r="W93" s="553"/>
      <c r="X93" s="553"/>
      <c r="Y93" s="553"/>
      <c r="Z93" s="553"/>
      <c r="AA93" s="553"/>
      <c r="AB93" s="553"/>
      <c r="AC93" s="553"/>
      <c r="AD93" s="553"/>
      <c r="AE93" s="553"/>
      <c r="AF93" s="553"/>
      <c r="AG93" s="553"/>
      <c r="AH93" s="553"/>
      <c r="AI93" s="553"/>
      <c r="AJ93" s="553"/>
      <c r="AK93" s="553"/>
      <c r="AL93" s="553"/>
      <c r="AM93" s="553"/>
      <c r="AN93" s="553"/>
      <c r="AO93" s="553"/>
    </row>
    <row r="94" spans="1:41" ht="15.75">
      <c r="A94" s="391"/>
      <c r="B94" s="390"/>
      <c r="E94" s="552"/>
      <c r="F94" s="552"/>
      <c r="G94" s="552"/>
      <c r="H94" s="552"/>
      <c r="I94" s="552"/>
      <c r="J94" s="552"/>
      <c r="K94" s="552"/>
      <c r="L94" s="390"/>
      <c r="M94" s="552"/>
      <c r="N94" s="552"/>
      <c r="O94" s="552"/>
      <c r="P94" s="552"/>
      <c r="Q94" s="552"/>
      <c r="R94" s="390"/>
      <c r="S94" s="390"/>
      <c r="T94" s="390"/>
      <c r="U94" s="390"/>
      <c r="V94" s="390"/>
      <c r="W94" s="553"/>
      <c r="X94" s="553"/>
      <c r="Y94" s="553"/>
      <c r="Z94" s="553"/>
      <c r="AA94" s="553"/>
      <c r="AB94" s="553"/>
      <c r="AC94" s="553"/>
      <c r="AD94" s="553"/>
      <c r="AE94" s="553"/>
      <c r="AF94" s="553"/>
      <c r="AG94" s="553"/>
      <c r="AH94" s="553"/>
      <c r="AI94" s="553"/>
      <c r="AJ94" s="553"/>
      <c r="AK94" s="553"/>
      <c r="AL94" s="553"/>
      <c r="AM94" s="553"/>
      <c r="AN94" s="553"/>
      <c r="AO94" s="553"/>
    </row>
    <row r="95" spans="1:41" ht="15.75">
      <c r="A95" s="391"/>
      <c r="B95" s="390"/>
      <c r="E95" s="552"/>
      <c r="F95" s="552"/>
      <c r="G95" s="552"/>
      <c r="H95" s="552"/>
      <c r="I95" s="552"/>
      <c r="J95" s="552"/>
      <c r="K95" s="552"/>
      <c r="L95" s="390"/>
      <c r="M95" s="552"/>
      <c r="N95" s="552"/>
      <c r="O95" s="552"/>
      <c r="P95" s="552"/>
      <c r="Q95" s="552"/>
      <c r="R95" s="390"/>
      <c r="S95" s="390"/>
      <c r="T95" s="390"/>
      <c r="U95" s="390"/>
      <c r="V95" s="390"/>
      <c r="W95" s="553"/>
      <c r="X95" s="553"/>
      <c r="Y95" s="553"/>
      <c r="Z95" s="553"/>
      <c r="AA95" s="553"/>
      <c r="AB95" s="553"/>
      <c r="AC95" s="553"/>
      <c r="AD95" s="553"/>
      <c r="AE95" s="553"/>
      <c r="AF95" s="553"/>
      <c r="AG95" s="553"/>
      <c r="AH95" s="553"/>
      <c r="AI95" s="553"/>
      <c r="AJ95" s="553"/>
      <c r="AK95" s="553"/>
      <c r="AL95" s="553"/>
      <c r="AM95" s="553"/>
      <c r="AN95" s="553"/>
      <c r="AO95" s="553"/>
    </row>
    <row r="96" spans="1:41" ht="15.75">
      <c r="A96" s="391"/>
      <c r="B96" s="390"/>
      <c r="E96" s="552"/>
      <c r="F96" s="552"/>
      <c r="G96" s="552"/>
      <c r="H96" s="552"/>
      <c r="I96" s="552"/>
      <c r="J96" s="552"/>
      <c r="K96" s="552"/>
      <c r="L96" s="390"/>
      <c r="M96" s="552"/>
      <c r="N96" s="552"/>
      <c r="O96" s="552"/>
      <c r="P96" s="552"/>
      <c r="Q96" s="552"/>
      <c r="R96" s="390"/>
      <c r="S96" s="390"/>
      <c r="T96" s="390"/>
      <c r="U96" s="390"/>
      <c r="V96" s="390"/>
      <c r="W96" s="553"/>
      <c r="X96" s="553"/>
      <c r="Y96" s="553"/>
      <c r="Z96" s="553"/>
      <c r="AA96" s="553"/>
      <c r="AB96" s="553"/>
      <c r="AC96" s="553"/>
      <c r="AD96" s="553"/>
      <c r="AE96" s="553"/>
      <c r="AF96" s="553"/>
      <c r="AG96" s="553"/>
      <c r="AH96" s="553"/>
      <c r="AI96" s="553"/>
      <c r="AJ96" s="553"/>
      <c r="AK96" s="553"/>
      <c r="AL96" s="553"/>
      <c r="AM96" s="553"/>
      <c r="AN96" s="553"/>
      <c r="AO96" s="553"/>
    </row>
    <row r="97" spans="1:41" ht="15.75">
      <c r="A97" s="391"/>
      <c r="B97" s="390"/>
      <c r="E97" s="552"/>
      <c r="F97" s="552"/>
      <c r="G97" s="552"/>
      <c r="H97" s="552"/>
      <c r="I97" s="552"/>
      <c r="J97" s="552"/>
      <c r="K97" s="552"/>
      <c r="L97" s="390"/>
      <c r="M97" s="552"/>
      <c r="N97" s="552"/>
      <c r="O97" s="552"/>
      <c r="P97" s="552"/>
      <c r="Q97" s="552"/>
      <c r="R97" s="390"/>
      <c r="S97" s="390"/>
      <c r="T97" s="390"/>
      <c r="U97" s="390"/>
      <c r="V97" s="390"/>
      <c r="W97" s="553"/>
      <c r="X97" s="553"/>
      <c r="Y97" s="553"/>
      <c r="Z97" s="553"/>
      <c r="AA97" s="553"/>
      <c r="AB97" s="553"/>
      <c r="AC97" s="553"/>
      <c r="AD97" s="553"/>
      <c r="AE97" s="553"/>
      <c r="AF97" s="553"/>
      <c r="AG97" s="553"/>
      <c r="AH97" s="553"/>
      <c r="AI97" s="553"/>
      <c r="AJ97" s="553"/>
      <c r="AK97" s="553"/>
      <c r="AL97" s="553"/>
      <c r="AM97" s="553"/>
      <c r="AN97" s="553"/>
      <c r="AO97" s="553"/>
    </row>
    <row r="98" spans="1:41" ht="15.75">
      <c r="A98" s="391"/>
      <c r="B98" s="390"/>
      <c r="E98" s="552"/>
      <c r="F98" s="552"/>
      <c r="G98" s="552"/>
      <c r="H98" s="552"/>
      <c r="I98" s="552"/>
      <c r="J98" s="552"/>
      <c r="K98" s="552"/>
      <c r="L98" s="390"/>
      <c r="M98" s="552"/>
      <c r="N98" s="552"/>
      <c r="O98" s="552"/>
      <c r="P98" s="552"/>
      <c r="Q98" s="552"/>
      <c r="R98" s="390"/>
      <c r="S98" s="390"/>
      <c r="T98" s="390"/>
      <c r="U98" s="390"/>
      <c r="V98" s="390"/>
      <c r="W98" s="553"/>
      <c r="X98" s="553"/>
      <c r="Y98" s="553"/>
      <c r="Z98" s="553"/>
      <c r="AA98" s="553"/>
      <c r="AB98" s="553"/>
      <c r="AC98" s="553"/>
      <c r="AD98" s="553"/>
      <c r="AE98" s="553"/>
      <c r="AF98" s="553"/>
      <c r="AG98" s="553"/>
      <c r="AH98" s="553"/>
      <c r="AI98" s="553"/>
      <c r="AJ98" s="553"/>
      <c r="AK98" s="553"/>
      <c r="AL98" s="553"/>
      <c r="AM98" s="553"/>
      <c r="AN98" s="553"/>
      <c r="AO98" s="553"/>
    </row>
    <row r="99" spans="1:41" ht="15.75">
      <c r="A99" s="391"/>
      <c r="B99" s="390"/>
      <c r="E99" s="552"/>
      <c r="F99" s="552"/>
      <c r="G99" s="552"/>
      <c r="H99" s="552"/>
      <c r="I99" s="552"/>
      <c r="J99" s="552"/>
      <c r="K99" s="552"/>
      <c r="L99" s="390"/>
      <c r="M99" s="552"/>
      <c r="N99" s="552"/>
      <c r="O99" s="552"/>
      <c r="P99" s="552"/>
      <c r="Q99" s="552"/>
      <c r="R99" s="390"/>
      <c r="S99" s="390"/>
      <c r="T99" s="390"/>
      <c r="U99" s="390"/>
      <c r="V99" s="390"/>
      <c r="W99" s="553"/>
      <c r="X99" s="553"/>
      <c r="Y99" s="553"/>
      <c r="Z99" s="553"/>
      <c r="AA99" s="553"/>
      <c r="AB99" s="553"/>
      <c r="AC99" s="553"/>
      <c r="AD99" s="553"/>
      <c r="AE99" s="553"/>
      <c r="AF99" s="553"/>
      <c r="AG99" s="553"/>
      <c r="AH99" s="553"/>
      <c r="AI99" s="553"/>
      <c r="AJ99" s="553"/>
      <c r="AK99" s="553"/>
      <c r="AL99" s="553"/>
      <c r="AM99" s="553"/>
      <c r="AN99" s="553"/>
      <c r="AO99" s="553"/>
    </row>
    <row r="100" spans="1:41">
      <c r="A100" s="520"/>
      <c r="B100" s="520"/>
      <c r="C100" s="520"/>
      <c r="D100" s="520"/>
      <c r="E100" s="520"/>
      <c r="F100" s="520"/>
      <c r="G100" s="520"/>
      <c r="H100" s="520"/>
      <c r="I100" s="520"/>
      <c r="J100" s="520"/>
      <c r="K100" s="520"/>
      <c r="L100" s="520"/>
      <c r="M100" s="520"/>
      <c r="N100" s="520"/>
      <c r="O100" s="520"/>
      <c r="P100" s="520"/>
      <c r="Q100" s="520"/>
      <c r="R100" s="520"/>
      <c r="S100" s="520"/>
      <c r="T100" s="520"/>
      <c r="U100" s="520"/>
      <c r="V100" s="520"/>
      <c r="W100" s="553"/>
      <c r="X100" s="553"/>
      <c r="Y100" s="553"/>
      <c r="Z100" s="553"/>
      <c r="AA100" s="553"/>
      <c r="AB100" s="553"/>
      <c r="AC100" s="553"/>
      <c r="AD100" s="553"/>
      <c r="AE100" s="553"/>
      <c r="AF100" s="553"/>
      <c r="AG100" s="553"/>
      <c r="AH100" s="553"/>
      <c r="AI100" s="553"/>
      <c r="AJ100" s="553"/>
      <c r="AK100" s="553"/>
      <c r="AL100" s="553"/>
      <c r="AM100" s="553"/>
      <c r="AN100" s="553"/>
      <c r="AO100" s="553"/>
    </row>
    <row r="101" spans="1:41">
      <c r="A101" s="520"/>
      <c r="B101" s="520"/>
      <c r="C101" s="520"/>
      <c r="D101" s="520"/>
      <c r="E101" s="520"/>
      <c r="F101" s="520"/>
      <c r="G101" s="520"/>
      <c r="H101" s="520"/>
      <c r="I101" s="520"/>
      <c r="J101" s="520"/>
      <c r="K101" s="520"/>
      <c r="L101" s="520"/>
      <c r="M101" s="520"/>
      <c r="N101" s="520"/>
      <c r="O101" s="520"/>
      <c r="P101" s="520"/>
      <c r="Q101" s="520"/>
      <c r="R101" s="520"/>
      <c r="S101" s="520"/>
      <c r="T101" s="520"/>
      <c r="U101" s="520"/>
      <c r="V101" s="520"/>
      <c r="W101" s="553"/>
      <c r="X101" s="553"/>
      <c r="Y101" s="553"/>
      <c r="Z101" s="553"/>
      <c r="AA101" s="553"/>
      <c r="AB101" s="553"/>
      <c r="AC101" s="553"/>
      <c r="AD101" s="553"/>
      <c r="AE101" s="553"/>
      <c r="AF101" s="553"/>
      <c r="AG101" s="553"/>
      <c r="AH101" s="553"/>
      <c r="AI101" s="553"/>
      <c r="AJ101" s="553"/>
      <c r="AK101" s="553"/>
      <c r="AL101" s="553"/>
      <c r="AM101" s="553"/>
      <c r="AN101" s="553"/>
      <c r="AO101" s="553"/>
    </row>
    <row r="102" spans="1:41">
      <c r="A102" s="520"/>
      <c r="B102" s="520"/>
      <c r="C102" s="520"/>
      <c r="D102" s="520"/>
      <c r="E102" s="520"/>
      <c r="F102" s="520"/>
      <c r="G102" s="520"/>
      <c r="H102" s="520"/>
      <c r="I102" s="520"/>
      <c r="J102" s="520"/>
      <c r="K102" s="520"/>
      <c r="L102" s="520"/>
      <c r="M102" s="520"/>
      <c r="N102" s="520"/>
      <c r="O102" s="520"/>
      <c r="P102" s="520"/>
      <c r="Q102" s="520"/>
      <c r="R102" s="520"/>
      <c r="S102" s="520"/>
      <c r="T102" s="520"/>
      <c r="U102" s="520"/>
      <c r="V102" s="520"/>
      <c r="W102" s="553"/>
      <c r="X102" s="553"/>
      <c r="Y102" s="553"/>
      <c r="Z102" s="553"/>
      <c r="AA102" s="553"/>
      <c r="AB102" s="553"/>
      <c r="AC102" s="553"/>
      <c r="AD102" s="553"/>
      <c r="AE102" s="553"/>
      <c r="AF102" s="553"/>
      <c r="AG102" s="553"/>
      <c r="AH102" s="553"/>
      <c r="AI102" s="553"/>
      <c r="AJ102" s="553"/>
      <c r="AK102" s="553"/>
      <c r="AL102" s="553"/>
      <c r="AM102" s="553"/>
      <c r="AN102" s="553"/>
      <c r="AO102" s="553"/>
    </row>
    <row r="103" spans="1:41">
      <c r="A103" s="520"/>
      <c r="B103" s="520"/>
      <c r="C103" s="520"/>
      <c r="D103" s="520"/>
      <c r="E103" s="520"/>
      <c r="F103" s="520"/>
      <c r="G103" s="520"/>
      <c r="H103" s="520"/>
      <c r="I103" s="520"/>
      <c r="J103" s="520"/>
      <c r="K103" s="520"/>
      <c r="L103" s="520"/>
      <c r="M103" s="520"/>
      <c r="N103" s="520"/>
      <c r="O103" s="520"/>
      <c r="P103" s="520"/>
      <c r="Q103" s="520"/>
      <c r="R103" s="520"/>
      <c r="S103" s="520"/>
      <c r="T103" s="520"/>
      <c r="U103" s="520"/>
      <c r="V103" s="520"/>
    </row>
    <row r="104" spans="1:41">
      <c r="A104" s="520"/>
      <c r="B104" s="520"/>
      <c r="C104" s="520"/>
      <c r="D104" s="520"/>
      <c r="E104" s="520"/>
      <c r="F104" s="520"/>
      <c r="G104" s="520"/>
      <c r="H104" s="520"/>
      <c r="I104" s="520"/>
      <c r="J104" s="520"/>
      <c r="K104" s="520"/>
      <c r="L104" s="520"/>
      <c r="M104" s="520"/>
      <c r="N104" s="520"/>
      <c r="O104" s="520"/>
      <c r="P104" s="520"/>
      <c r="Q104" s="520"/>
      <c r="R104" s="520"/>
      <c r="S104" s="520"/>
      <c r="T104" s="520"/>
      <c r="U104" s="520"/>
      <c r="V104" s="520"/>
    </row>
    <row r="105" spans="1:41">
      <c r="A105" s="520"/>
      <c r="B105" s="520"/>
      <c r="C105" s="520"/>
      <c r="D105" s="520"/>
      <c r="E105" s="520"/>
      <c r="F105" s="520"/>
      <c r="G105" s="520"/>
      <c r="H105" s="520"/>
      <c r="I105" s="520"/>
      <c r="J105" s="520"/>
      <c r="K105" s="520"/>
      <c r="L105" s="520"/>
      <c r="M105" s="520"/>
      <c r="N105" s="520"/>
      <c r="O105" s="520"/>
      <c r="P105" s="520"/>
      <c r="Q105" s="520"/>
      <c r="R105" s="520"/>
      <c r="S105" s="520"/>
      <c r="T105" s="520"/>
      <c r="U105" s="520"/>
      <c r="V105" s="520"/>
    </row>
    <row r="106" spans="1:41">
      <c r="A106" s="520"/>
      <c r="B106" s="520"/>
      <c r="C106" s="520"/>
      <c r="D106" s="520"/>
      <c r="E106" s="520"/>
      <c r="F106" s="520"/>
      <c r="G106" s="520"/>
      <c r="H106" s="520"/>
      <c r="I106" s="520"/>
      <c r="J106" s="520"/>
      <c r="K106" s="520"/>
      <c r="L106" s="520"/>
      <c r="M106" s="520"/>
      <c r="N106" s="520"/>
      <c r="O106" s="520"/>
      <c r="P106" s="520"/>
      <c r="Q106" s="520"/>
      <c r="R106" s="520"/>
      <c r="S106" s="520"/>
      <c r="T106" s="520"/>
      <c r="U106" s="520"/>
      <c r="V106" s="520"/>
    </row>
    <row r="107" spans="1:41" ht="12.75" customHeight="1">
      <c r="A107" s="520"/>
      <c r="B107" s="520"/>
      <c r="C107" s="520"/>
      <c r="D107" s="520"/>
      <c r="E107" s="520"/>
      <c r="F107" s="520"/>
      <c r="G107" s="520"/>
      <c r="H107" s="520"/>
      <c r="I107" s="520"/>
      <c r="J107" s="520"/>
      <c r="K107" s="520"/>
      <c r="L107" s="520"/>
      <c r="M107" s="520"/>
      <c r="N107" s="520"/>
      <c r="O107" s="520"/>
      <c r="P107" s="520"/>
      <c r="Q107" s="520"/>
      <c r="R107" s="520"/>
      <c r="S107" s="520"/>
      <c r="T107" s="520"/>
      <c r="U107" s="520"/>
      <c r="V107" s="520"/>
    </row>
    <row r="108" spans="1:41" ht="12.75" customHeight="1">
      <c r="A108" s="520"/>
      <c r="B108" s="520"/>
      <c r="C108" s="520"/>
      <c r="D108" s="520"/>
      <c r="E108" s="520"/>
      <c r="F108" s="520"/>
      <c r="G108" s="520"/>
      <c r="H108" s="520"/>
      <c r="I108" s="520"/>
      <c r="J108" s="520"/>
      <c r="K108" s="520"/>
      <c r="L108" s="520"/>
      <c r="M108" s="520"/>
      <c r="N108" s="520"/>
      <c r="O108" s="520"/>
      <c r="P108" s="520"/>
      <c r="Q108" s="520"/>
      <c r="R108" s="520"/>
      <c r="S108" s="520"/>
      <c r="T108" s="520"/>
      <c r="U108" s="520"/>
      <c r="V108" s="520"/>
    </row>
    <row r="109" spans="1:41" ht="12.75" customHeight="1">
      <c r="A109" s="520"/>
      <c r="B109" s="520"/>
      <c r="C109" s="520"/>
      <c r="D109" s="520"/>
      <c r="E109" s="520"/>
      <c r="F109" s="520"/>
      <c r="G109" s="520"/>
      <c r="H109" s="520"/>
      <c r="I109" s="520"/>
      <c r="J109" s="520"/>
      <c r="K109" s="520"/>
      <c r="L109" s="520"/>
      <c r="M109" s="520"/>
      <c r="N109" s="520"/>
      <c r="O109" s="520"/>
      <c r="P109" s="520"/>
      <c r="Q109" s="520"/>
      <c r="R109" s="520"/>
      <c r="S109" s="520"/>
      <c r="T109" s="520"/>
      <c r="U109" s="520"/>
      <c r="V109" s="520"/>
    </row>
    <row r="110" spans="1:41" ht="12.75" customHeight="1">
      <c r="A110" s="520"/>
      <c r="B110" s="520"/>
      <c r="C110" s="520"/>
      <c r="D110" s="520"/>
      <c r="E110" s="520"/>
      <c r="F110" s="520"/>
      <c r="G110" s="520"/>
      <c r="H110" s="520"/>
      <c r="I110" s="520"/>
      <c r="J110" s="520"/>
      <c r="K110" s="520"/>
      <c r="L110" s="520"/>
      <c r="M110" s="520"/>
      <c r="N110" s="520"/>
      <c r="O110" s="520"/>
      <c r="P110" s="520"/>
      <c r="Q110" s="520"/>
      <c r="R110" s="520"/>
      <c r="S110" s="520"/>
      <c r="T110" s="520"/>
      <c r="U110" s="520"/>
      <c r="V110" s="520"/>
    </row>
    <row r="111" spans="1:41" ht="12.75" customHeight="1">
      <c r="A111" s="520"/>
      <c r="B111" s="520"/>
      <c r="C111" s="520"/>
      <c r="D111" s="520"/>
      <c r="E111" s="520"/>
      <c r="F111" s="520"/>
      <c r="G111" s="520"/>
      <c r="H111" s="520"/>
      <c r="I111" s="520"/>
      <c r="J111" s="520"/>
      <c r="K111" s="520"/>
      <c r="L111" s="520"/>
      <c r="M111" s="520"/>
      <c r="N111" s="520"/>
      <c r="O111" s="520"/>
      <c r="P111" s="520"/>
      <c r="Q111" s="520"/>
      <c r="R111" s="520"/>
      <c r="S111" s="520"/>
      <c r="T111" s="520"/>
      <c r="U111" s="520"/>
      <c r="V111" s="520"/>
    </row>
    <row r="112" spans="1:41" ht="12.75" customHeight="1">
      <c r="A112" s="520"/>
      <c r="B112" s="520"/>
      <c r="C112" s="520"/>
      <c r="D112" s="520"/>
      <c r="E112" s="520"/>
      <c r="F112" s="520"/>
      <c r="G112" s="520"/>
      <c r="H112" s="520"/>
      <c r="I112" s="520"/>
      <c r="J112" s="520"/>
      <c r="K112" s="520"/>
      <c r="L112" s="520"/>
      <c r="M112" s="520"/>
      <c r="N112" s="520"/>
      <c r="O112" s="520"/>
      <c r="P112" s="520"/>
      <c r="Q112" s="520"/>
      <c r="R112" s="520"/>
      <c r="S112" s="520"/>
      <c r="T112" s="520"/>
      <c r="U112" s="520"/>
      <c r="V112" s="520"/>
    </row>
    <row r="113" spans="1:22" ht="12.75" customHeight="1">
      <c r="A113" s="520"/>
      <c r="B113" s="520"/>
      <c r="C113" s="520"/>
      <c r="D113" s="520"/>
      <c r="E113" s="520"/>
      <c r="F113" s="520"/>
      <c r="G113" s="520"/>
      <c r="H113" s="520"/>
      <c r="I113" s="520"/>
      <c r="J113" s="520"/>
      <c r="K113" s="520"/>
      <c r="L113" s="520"/>
      <c r="M113" s="520"/>
      <c r="N113" s="520"/>
      <c r="O113" s="520"/>
      <c r="P113" s="520"/>
      <c r="Q113" s="520"/>
      <c r="R113" s="520"/>
      <c r="S113" s="520"/>
      <c r="T113" s="520"/>
      <c r="U113" s="520"/>
      <c r="V113" s="520"/>
    </row>
    <row r="114" spans="1:22" ht="12.75" customHeight="1">
      <c r="A114" s="520"/>
      <c r="B114" s="520"/>
      <c r="C114" s="520"/>
      <c r="D114" s="520"/>
      <c r="E114" s="520"/>
      <c r="F114" s="520"/>
      <c r="G114" s="520"/>
      <c r="H114" s="520"/>
      <c r="I114" s="520"/>
      <c r="J114" s="520"/>
      <c r="K114" s="520"/>
      <c r="L114" s="520"/>
      <c r="M114" s="520"/>
      <c r="N114" s="520"/>
      <c r="O114" s="520"/>
      <c r="P114" s="520"/>
      <c r="Q114" s="520"/>
      <c r="R114" s="520"/>
      <c r="S114" s="520"/>
      <c r="T114" s="520"/>
      <c r="U114" s="520"/>
      <c r="V114" s="520"/>
    </row>
    <row r="115" spans="1:22" ht="12.75" customHeight="1">
      <c r="A115" s="520"/>
      <c r="B115" s="520"/>
      <c r="C115" s="520"/>
      <c r="D115" s="520"/>
      <c r="E115" s="520"/>
      <c r="F115" s="520"/>
      <c r="G115" s="520"/>
      <c r="H115" s="520"/>
      <c r="I115" s="520"/>
      <c r="J115" s="520"/>
      <c r="K115" s="520"/>
      <c r="L115" s="520"/>
      <c r="M115" s="520"/>
      <c r="N115" s="520"/>
      <c r="O115" s="520"/>
      <c r="P115" s="520"/>
      <c r="Q115" s="520"/>
      <c r="R115" s="520"/>
      <c r="S115" s="520"/>
      <c r="T115" s="520"/>
      <c r="U115" s="520"/>
      <c r="V115" s="520"/>
    </row>
    <row r="116" spans="1:22" ht="12.75" customHeight="1">
      <c r="A116" s="520"/>
      <c r="B116" s="520"/>
      <c r="C116" s="520"/>
      <c r="D116" s="520"/>
      <c r="E116" s="520"/>
      <c r="F116" s="520"/>
      <c r="G116" s="520"/>
      <c r="H116" s="520"/>
      <c r="I116" s="520"/>
      <c r="J116" s="520"/>
      <c r="K116" s="520"/>
      <c r="L116" s="520"/>
      <c r="M116" s="520"/>
      <c r="N116" s="520"/>
      <c r="O116" s="520"/>
      <c r="P116" s="520"/>
      <c r="Q116" s="520"/>
      <c r="R116" s="520"/>
      <c r="S116" s="520"/>
      <c r="T116" s="520"/>
      <c r="U116" s="520"/>
      <c r="V116" s="520"/>
    </row>
    <row r="117" spans="1:22" ht="12.75" customHeight="1">
      <c r="A117" s="520"/>
      <c r="B117" s="520"/>
      <c r="C117" s="520"/>
      <c r="D117" s="520"/>
      <c r="E117" s="520"/>
      <c r="F117" s="520"/>
      <c r="G117" s="520"/>
      <c r="H117" s="520"/>
      <c r="I117" s="520"/>
      <c r="J117" s="520"/>
      <c r="K117" s="520"/>
      <c r="L117" s="520"/>
      <c r="M117" s="520"/>
      <c r="N117" s="520"/>
      <c r="O117" s="520"/>
      <c r="P117" s="520"/>
      <c r="Q117" s="520"/>
      <c r="R117" s="520"/>
      <c r="S117" s="520"/>
      <c r="T117" s="520"/>
      <c r="U117" s="520"/>
      <c r="V117" s="520"/>
    </row>
    <row r="118" spans="1:22">
      <c r="A118" s="520"/>
      <c r="B118" s="520"/>
      <c r="C118" s="520"/>
      <c r="D118" s="520"/>
      <c r="E118" s="520"/>
      <c r="F118" s="520"/>
      <c r="G118" s="520"/>
      <c r="H118" s="520"/>
      <c r="I118" s="520"/>
      <c r="J118" s="520"/>
      <c r="K118" s="520"/>
      <c r="L118" s="520"/>
      <c r="M118" s="520"/>
      <c r="N118" s="520"/>
      <c r="O118" s="520"/>
      <c r="P118" s="520"/>
      <c r="Q118" s="520"/>
      <c r="R118" s="520"/>
      <c r="S118" s="520"/>
      <c r="T118" s="520"/>
      <c r="U118" s="520"/>
      <c r="V118" s="520"/>
    </row>
    <row r="119" spans="1:22">
      <c r="A119" s="520"/>
      <c r="B119" s="520"/>
      <c r="C119" s="520"/>
      <c r="D119" s="520"/>
      <c r="E119" s="520"/>
      <c r="F119" s="520"/>
      <c r="G119" s="520"/>
      <c r="H119" s="520"/>
      <c r="I119" s="520"/>
      <c r="J119" s="520"/>
      <c r="K119" s="520"/>
      <c r="L119" s="520"/>
      <c r="M119" s="520"/>
      <c r="N119" s="520"/>
      <c r="O119" s="520"/>
      <c r="P119" s="520"/>
      <c r="Q119" s="520"/>
      <c r="R119" s="520"/>
      <c r="S119" s="520"/>
      <c r="T119" s="520"/>
      <c r="U119" s="520"/>
      <c r="V119" s="520"/>
    </row>
    <row r="120" spans="1:22">
      <c r="A120" s="520"/>
      <c r="B120" s="520"/>
      <c r="C120" s="520"/>
      <c r="D120" s="520"/>
      <c r="E120" s="520"/>
      <c r="F120" s="520"/>
      <c r="G120" s="520"/>
      <c r="H120" s="520"/>
      <c r="I120" s="520"/>
      <c r="J120" s="520"/>
      <c r="K120" s="520"/>
      <c r="L120" s="520"/>
      <c r="M120" s="520"/>
      <c r="N120" s="520"/>
      <c r="O120" s="520"/>
      <c r="P120" s="520"/>
      <c r="Q120" s="520"/>
      <c r="R120" s="520"/>
      <c r="S120" s="520"/>
      <c r="T120" s="520"/>
      <c r="U120" s="520"/>
      <c r="V120" s="520"/>
    </row>
    <row r="121" spans="1:22">
      <c r="A121" s="520"/>
      <c r="B121" s="520"/>
      <c r="C121" s="520"/>
      <c r="D121" s="520"/>
      <c r="E121" s="520"/>
      <c r="F121" s="520"/>
      <c r="G121" s="520"/>
      <c r="H121" s="520"/>
      <c r="I121" s="520"/>
      <c r="J121" s="520"/>
      <c r="K121" s="520"/>
      <c r="L121" s="520"/>
      <c r="M121" s="520"/>
      <c r="N121" s="520"/>
      <c r="O121" s="520"/>
      <c r="P121" s="520"/>
      <c r="Q121" s="520"/>
      <c r="R121" s="520"/>
      <c r="S121" s="520"/>
      <c r="T121" s="520"/>
      <c r="U121" s="520"/>
      <c r="V121" s="520"/>
    </row>
    <row r="122" spans="1:22">
      <c r="A122" s="520"/>
      <c r="B122" s="520"/>
      <c r="C122" s="520"/>
      <c r="D122" s="520"/>
      <c r="E122" s="520"/>
      <c r="F122" s="520"/>
      <c r="G122" s="520"/>
      <c r="H122" s="520"/>
      <c r="I122" s="520"/>
      <c r="J122" s="520"/>
      <c r="K122" s="520"/>
      <c r="L122" s="520"/>
      <c r="M122" s="520"/>
      <c r="N122" s="520"/>
      <c r="O122" s="520"/>
      <c r="P122" s="520"/>
      <c r="Q122" s="520"/>
      <c r="R122" s="520"/>
      <c r="S122" s="520"/>
      <c r="T122" s="520"/>
      <c r="U122" s="520"/>
      <c r="V122" s="520"/>
    </row>
    <row r="123" spans="1:22">
      <c r="A123" s="520"/>
      <c r="B123" s="520"/>
      <c r="C123" s="520"/>
      <c r="D123" s="520"/>
      <c r="E123" s="520"/>
      <c r="F123" s="520"/>
      <c r="G123" s="520"/>
      <c r="H123" s="520"/>
      <c r="I123" s="520"/>
      <c r="J123" s="520"/>
      <c r="K123" s="520"/>
      <c r="L123" s="520"/>
      <c r="M123" s="520"/>
      <c r="N123" s="520"/>
      <c r="O123" s="520"/>
      <c r="P123" s="520"/>
      <c r="Q123" s="520"/>
      <c r="R123" s="520"/>
      <c r="S123" s="520"/>
      <c r="T123" s="520"/>
      <c r="U123" s="520"/>
      <c r="V123" s="520"/>
    </row>
    <row r="124" spans="1:22">
      <c r="A124" s="520"/>
      <c r="B124" s="520"/>
      <c r="C124" s="520"/>
      <c r="D124" s="520"/>
      <c r="E124" s="520"/>
      <c r="F124" s="520"/>
      <c r="G124" s="520"/>
      <c r="H124" s="520"/>
      <c r="I124" s="520"/>
      <c r="J124" s="520"/>
      <c r="K124" s="520"/>
      <c r="L124" s="520"/>
      <c r="M124" s="520"/>
      <c r="N124" s="520"/>
      <c r="O124" s="520"/>
      <c r="P124" s="520"/>
      <c r="Q124" s="520"/>
      <c r="R124" s="520"/>
      <c r="S124" s="520"/>
      <c r="T124" s="520"/>
      <c r="U124" s="520"/>
      <c r="V124" s="520"/>
    </row>
    <row r="125" spans="1:22">
      <c r="A125" s="520"/>
      <c r="B125" s="520"/>
      <c r="C125" s="520"/>
      <c r="D125" s="520"/>
      <c r="E125" s="520"/>
      <c r="F125" s="520"/>
      <c r="G125" s="520"/>
      <c r="H125" s="520"/>
      <c r="I125" s="520"/>
      <c r="J125" s="520"/>
      <c r="K125" s="520"/>
      <c r="L125" s="520"/>
      <c r="M125" s="520"/>
      <c r="N125" s="520"/>
      <c r="O125" s="520"/>
      <c r="P125" s="520"/>
      <c r="Q125" s="520"/>
      <c r="R125" s="520"/>
      <c r="S125" s="520"/>
      <c r="T125" s="520"/>
      <c r="U125" s="520"/>
      <c r="V125" s="520"/>
    </row>
    <row r="126" spans="1:22">
      <c r="A126" s="520"/>
      <c r="B126" s="520"/>
      <c r="C126" s="520"/>
      <c r="D126" s="520"/>
      <c r="E126" s="520"/>
      <c r="F126" s="520"/>
      <c r="G126" s="520"/>
      <c r="H126" s="520"/>
      <c r="I126" s="520"/>
      <c r="J126" s="520"/>
      <c r="K126" s="520"/>
      <c r="L126" s="520"/>
      <c r="M126" s="520"/>
      <c r="N126" s="520"/>
      <c r="O126" s="520"/>
      <c r="P126" s="520"/>
      <c r="Q126" s="520"/>
      <c r="R126" s="520"/>
      <c r="S126" s="520"/>
      <c r="T126" s="520"/>
      <c r="U126" s="520"/>
      <c r="V126" s="520"/>
    </row>
    <row r="127" spans="1:22">
      <c r="A127" s="520"/>
      <c r="B127" s="520"/>
      <c r="C127" s="520"/>
      <c r="D127" s="520"/>
      <c r="E127" s="520"/>
      <c r="F127" s="520"/>
      <c r="G127" s="520"/>
      <c r="H127" s="520"/>
      <c r="I127" s="520"/>
      <c r="J127" s="520"/>
      <c r="K127" s="520"/>
      <c r="L127" s="520"/>
      <c r="M127" s="520"/>
      <c r="N127" s="520"/>
      <c r="O127" s="520"/>
      <c r="P127" s="520"/>
      <c r="Q127" s="520"/>
      <c r="R127" s="520"/>
      <c r="S127" s="520"/>
      <c r="T127" s="520"/>
      <c r="U127" s="520"/>
      <c r="V127" s="520"/>
    </row>
    <row r="128" spans="1:22">
      <c r="A128" s="520"/>
      <c r="B128" s="520"/>
      <c r="C128" s="520"/>
      <c r="D128" s="520"/>
      <c r="E128" s="520"/>
      <c r="F128" s="520"/>
      <c r="G128" s="520"/>
      <c r="H128" s="520"/>
      <c r="I128" s="520"/>
      <c r="J128" s="520"/>
      <c r="K128" s="520"/>
      <c r="L128" s="520"/>
      <c r="M128" s="520"/>
      <c r="N128" s="520"/>
      <c r="O128" s="520"/>
      <c r="P128" s="520"/>
      <c r="Q128" s="520"/>
      <c r="R128" s="520"/>
      <c r="S128" s="520"/>
      <c r="T128" s="520"/>
      <c r="U128" s="520"/>
      <c r="V128" s="520"/>
    </row>
    <row r="129" spans="1:22">
      <c r="A129" s="520"/>
      <c r="B129" s="520"/>
      <c r="C129" s="520"/>
      <c r="D129" s="520"/>
      <c r="E129" s="520"/>
      <c r="F129" s="520"/>
      <c r="G129" s="520"/>
      <c r="H129" s="520"/>
      <c r="I129" s="520"/>
      <c r="J129" s="520"/>
      <c r="K129" s="520"/>
      <c r="L129" s="520"/>
      <c r="M129" s="520"/>
      <c r="N129" s="520"/>
      <c r="O129" s="520"/>
      <c r="P129" s="520"/>
      <c r="Q129" s="520"/>
      <c r="R129" s="520"/>
      <c r="S129" s="520"/>
      <c r="T129" s="520"/>
      <c r="U129" s="520"/>
      <c r="V129" s="520"/>
    </row>
    <row r="130" spans="1:22">
      <c r="A130" s="520"/>
      <c r="B130" s="520"/>
      <c r="C130" s="520"/>
      <c r="D130" s="520"/>
      <c r="E130" s="520"/>
      <c r="F130" s="520"/>
      <c r="G130" s="520"/>
      <c r="H130" s="520"/>
      <c r="I130" s="520"/>
      <c r="J130" s="520"/>
      <c r="K130" s="520"/>
      <c r="L130" s="520"/>
      <c r="M130" s="520"/>
      <c r="N130" s="520"/>
      <c r="O130" s="520"/>
      <c r="P130" s="520"/>
      <c r="Q130" s="520"/>
      <c r="R130" s="520"/>
      <c r="S130" s="520"/>
      <c r="T130" s="520"/>
      <c r="U130" s="520"/>
      <c r="V130" s="520"/>
    </row>
    <row r="131" spans="1:22">
      <c r="A131" s="520"/>
      <c r="B131" s="520"/>
      <c r="C131" s="520"/>
      <c r="D131" s="520"/>
      <c r="E131" s="520"/>
      <c r="F131" s="520"/>
      <c r="G131" s="520"/>
      <c r="H131" s="520"/>
      <c r="I131" s="520"/>
      <c r="J131" s="520"/>
      <c r="K131" s="520"/>
      <c r="L131" s="520"/>
      <c r="M131" s="520"/>
      <c r="N131" s="520"/>
      <c r="O131" s="520"/>
      <c r="P131" s="520"/>
      <c r="Q131" s="520"/>
      <c r="R131" s="520"/>
      <c r="S131" s="520"/>
      <c r="T131" s="520"/>
      <c r="U131" s="520"/>
      <c r="V131" s="520"/>
    </row>
    <row r="132" spans="1:22">
      <c r="A132" s="520"/>
      <c r="B132" s="520"/>
      <c r="C132" s="520"/>
      <c r="D132" s="520"/>
      <c r="E132" s="520"/>
      <c r="F132" s="520"/>
      <c r="G132" s="520"/>
      <c r="H132" s="520"/>
      <c r="I132" s="520"/>
      <c r="J132" s="520"/>
      <c r="K132" s="520"/>
      <c r="L132" s="520"/>
      <c r="M132" s="520"/>
      <c r="N132" s="520"/>
      <c r="O132" s="520"/>
      <c r="P132" s="520"/>
      <c r="Q132" s="520"/>
      <c r="R132" s="520"/>
      <c r="S132" s="520"/>
      <c r="T132" s="520"/>
      <c r="U132" s="520"/>
      <c r="V132" s="520"/>
    </row>
    <row r="133" spans="1:22">
      <c r="A133" s="520"/>
      <c r="B133" s="520"/>
      <c r="C133" s="520"/>
      <c r="D133" s="520"/>
      <c r="E133" s="520"/>
      <c r="F133" s="520"/>
      <c r="G133" s="520"/>
      <c r="H133" s="520"/>
      <c r="I133" s="520"/>
      <c r="J133" s="520"/>
      <c r="K133" s="520"/>
      <c r="L133" s="520"/>
      <c r="M133" s="520"/>
      <c r="N133" s="520"/>
      <c r="O133" s="520"/>
      <c r="P133" s="520"/>
      <c r="Q133" s="520"/>
      <c r="R133" s="520"/>
      <c r="S133" s="520"/>
      <c r="T133" s="520"/>
      <c r="U133" s="520"/>
      <c r="V133" s="520"/>
    </row>
    <row r="134" spans="1:22">
      <c r="A134" s="520"/>
      <c r="B134" s="520"/>
      <c r="C134" s="520"/>
      <c r="D134" s="520"/>
      <c r="E134" s="520"/>
      <c r="F134" s="520"/>
      <c r="G134" s="520"/>
      <c r="H134" s="520"/>
      <c r="I134" s="520"/>
      <c r="J134" s="520"/>
      <c r="K134" s="520"/>
      <c r="L134" s="520"/>
      <c r="M134" s="520"/>
      <c r="N134" s="520"/>
      <c r="O134" s="520"/>
      <c r="P134" s="520"/>
      <c r="Q134" s="520"/>
      <c r="R134" s="520"/>
      <c r="S134" s="520"/>
      <c r="T134" s="520"/>
      <c r="U134" s="520"/>
      <c r="V134" s="520"/>
    </row>
    <row r="135" spans="1:22">
      <c r="A135" s="520"/>
      <c r="B135" s="520"/>
      <c r="C135" s="520"/>
      <c r="D135" s="520"/>
      <c r="E135" s="520"/>
      <c r="F135" s="520"/>
      <c r="G135" s="520"/>
      <c r="H135" s="520"/>
      <c r="I135" s="520"/>
      <c r="J135" s="520"/>
      <c r="K135" s="520"/>
      <c r="L135" s="520"/>
      <c r="M135" s="520"/>
      <c r="N135" s="520"/>
      <c r="O135" s="520"/>
      <c r="P135" s="520"/>
      <c r="Q135" s="520"/>
      <c r="R135" s="520"/>
      <c r="S135" s="520"/>
      <c r="T135" s="520"/>
      <c r="U135" s="520"/>
      <c r="V135" s="520"/>
    </row>
    <row r="136" spans="1:22">
      <c r="A136" s="520"/>
      <c r="B136" s="520"/>
      <c r="C136" s="520"/>
      <c r="D136" s="520"/>
      <c r="E136" s="520"/>
      <c r="F136" s="520"/>
      <c r="G136" s="520"/>
      <c r="H136" s="520"/>
      <c r="I136" s="520"/>
      <c r="J136" s="520"/>
      <c r="K136" s="520"/>
      <c r="L136" s="520"/>
      <c r="M136" s="520"/>
      <c r="N136" s="520"/>
      <c r="O136" s="520"/>
      <c r="P136" s="520"/>
      <c r="Q136" s="520"/>
      <c r="R136" s="520"/>
      <c r="S136" s="520"/>
      <c r="T136" s="520"/>
      <c r="U136" s="520"/>
      <c r="V136" s="520"/>
    </row>
    <row r="137" spans="1:22">
      <c r="A137" s="520"/>
      <c r="B137" s="520"/>
      <c r="C137" s="520"/>
      <c r="D137" s="520"/>
      <c r="E137" s="520"/>
      <c r="F137" s="520"/>
      <c r="G137" s="520"/>
      <c r="H137" s="520"/>
      <c r="I137" s="520"/>
      <c r="J137" s="520"/>
      <c r="K137" s="520"/>
      <c r="L137" s="520"/>
      <c r="M137" s="520"/>
      <c r="N137" s="520"/>
      <c r="O137" s="520"/>
      <c r="P137" s="520"/>
      <c r="Q137" s="520"/>
      <c r="R137" s="520"/>
      <c r="S137" s="520"/>
      <c r="T137" s="520"/>
      <c r="U137" s="520"/>
      <c r="V137" s="520"/>
    </row>
    <row r="138" spans="1:22" ht="12.75" customHeight="1">
      <c r="A138" s="520"/>
      <c r="B138" s="520"/>
      <c r="C138" s="520"/>
      <c r="D138" s="520"/>
      <c r="E138" s="520"/>
      <c r="F138" s="520"/>
      <c r="G138" s="520"/>
      <c r="H138" s="520"/>
      <c r="I138" s="520"/>
      <c r="J138" s="520"/>
      <c r="K138" s="520"/>
      <c r="L138" s="520"/>
      <c r="M138" s="520"/>
      <c r="N138" s="520"/>
      <c r="O138" s="520"/>
      <c r="P138" s="520"/>
      <c r="Q138" s="520"/>
      <c r="R138" s="520"/>
      <c r="S138" s="520"/>
      <c r="T138" s="520"/>
      <c r="U138" s="520"/>
      <c r="V138" s="520"/>
    </row>
    <row r="139" spans="1:22" ht="12.75" customHeight="1">
      <c r="A139" s="520"/>
      <c r="B139" s="520"/>
      <c r="C139" s="520"/>
      <c r="D139" s="520"/>
      <c r="E139" s="520"/>
      <c r="F139" s="520"/>
      <c r="G139" s="520"/>
      <c r="H139" s="520"/>
      <c r="I139" s="520"/>
      <c r="J139" s="520"/>
      <c r="K139" s="520"/>
      <c r="L139" s="520"/>
      <c r="M139" s="520"/>
      <c r="N139" s="520"/>
      <c r="O139" s="520"/>
      <c r="P139" s="520"/>
      <c r="Q139" s="520"/>
      <c r="R139" s="520"/>
      <c r="S139" s="520"/>
      <c r="T139" s="520"/>
      <c r="U139" s="520"/>
      <c r="V139" s="520"/>
    </row>
    <row r="140" spans="1:22" ht="12.75" customHeight="1">
      <c r="A140" s="520"/>
      <c r="B140" s="520"/>
      <c r="C140" s="520"/>
      <c r="D140" s="520"/>
      <c r="E140" s="520"/>
      <c r="F140" s="520"/>
      <c r="G140" s="520"/>
      <c r="H140" s="520"/>
      <c r="I140" s="520"/>
      <c r="J140" s="520"/>
      <c r="K140" s="520"/>
      <c r="L140" s="520"/>
      <c r="M140" s="520"/>
      <c r="N140" s="520"/>
      <c r="O140" s="520"/>
      <c r="P140" s="520"/>
      <c r="Q140" s="520"/>
      <c r="R140" s="520"/>
      <c r="S140" s="520"/>
      <c r="T140" s="520"/>
      <c r="U140" s="520"/>
      <c r="V140" s="520"/>
    </row>
    <row r="141" spans="1:22">
      <c r="A141" s="520"/>
      <c r="B141" s="520"/>
      <c r="C141" s="520"/>
      <c r="D141" s="520"/>
      <c r="E141" s="520"/>
      <c r="F141" s="520"/>
      <c r="G141" s="520"/>
      <c r="H141" s="520"/>
      <c r="I141" s="520"/>
      <c r="J141" s="520"/>
      <c r="K141" s="520"/>
      <c r="L141" s="520"/>
      <c r="M141" s="520"/>
      <c r="N141" s="520"/>
      <c r="O141" s="520"/>
      <c r="P141" s="520"/>
      <c r="Q141" s="520"/>
      <c r="R141" s="520"/>
      <c r="S141" s="520"/>
      <c r="T141" s="520"/>
      <c r="U141" s="520"/>
      <c r="V141" s="520"/>
    </row>
    <row r="142" spans="1:22">
      <c r="A142" s="520"/>
      <c r="B142" s="520"/>
      <c r="C142" s="520"/>
      <c r="D142" s="520"/>
      <c r="E142" s="520"/>
      <c r="F142" s="520"/>
      <c r="G142" s="520"/>
      <c r="H142" s="520"/>
      <c r="I142" s="520"/>
      <c r="J142" s="520"/>
      <c r="K142" s="520"/>
      <c r="L142" s="520"/>
      <c r="M142" s="520"/>
      <c r="N142" s="520"/>
      <c r="O142" s="520"/>
      <c r="P142" s="520"/>
      <c r="Q142" s="520"/>
      <c r="R142" s="520"/>
      <c r="S142" s="520"/>
      <c r="T142" s="520"/>
      <c r="U142" s="520"/>
      <c r="V142" s="520"/>
    </row>
    <row r="143" spans="1:22">
      <c r="A143" s="520"/>
      <c r="B143" s="520"/>
      <c r="C143" s="520"/>
      <c r="D143" s="520"/>
      <c r="E143" s="520"/>
      <c r="F143" s="520"/>
      <c r="G143" s="520"/>
      <c r="H143" s="520"/>
      <c r="I143" s="520"/>
      <c r="J143" s="520"/>
      <c r="K143" s="520"/>
      <c r="L143" s="520"/>
      <c r="M143" s="520"/>
      <c r="N143" s="520"/>
      <c r="O143" s="520"/>
      <c r="P143" s="520"/>
      <c r="Q143" s="520"/>
      <c r="R143" s="520"/>
      <c r="S143" s="520"/>
      <c r="T143" s="520"/>
      <c r="U143" s="520"/>
      <c r="V143" s="520"/>
    </row>
    <row r="144" spans="1:22">
      <c r="A144" s="520"/>
      <c r="B144" s="520"/>
      <c r="C144" s="520"/>
      <c r="D144" s="520"/>
      <c r="E144" s="520"/>
      <c r="F144" s="520"/>
      <c r="G144" s="520"/>
      <c r="H144" s="520"/>
      <c r="I144" s="520"/>
      <c r="J144" s="520"/>
      <c r="K144" s="520"/>
      <c r="L144" s="520"/>
      <c r="M144" s="520"/>
      <c r="N144" s="520"/>
      <c r="O144" s="520"/>
      <c r="P144" s="520"/>
      <c r="Q144" s="520"/>
      <c r="R144" s="520"/>
      <c r="S144" s="520"/>
      <c r="T144" s="520"/>
      <c r="U144" s="520"/>
      <c r="V144" s="520"/>
    </row>
    <row r="145" spans="1:22">
      <c r="A145" s="520"/>
      <c r="B145" s="520"/>
      <c r="C145" s="520"/>
      <c r="D145" s="520"/>
      <c r="E145" s="520"/>
      <c r="F145" s="520"/>
      <c r="G145" s="520"/>
      <c r="H145" s="520"/>
      <c r="I145" s="520"/>
      <c r="J145" s="520"/>
      <c r="K145" s="520"/>
      <c r="L145" s="520"/>
      <c r="M145" s="520"/>
      <c r="N145" s="520"/>
      <c r="O145" s="520"/>
      <c r="P145" s="520"/>
      <c r="Q145" s="520"/>
      <c r="R145" s="520"/>
      <c r="S145" s="520"/>
      <c r="T145" s="520"/>
      <c r="U145" s="520"/>
      <c r="V145" s="520"/>
    </row>
    <row r="146" spans="1:22">
      <c r="A146" s="520"/>
      <c r="B146" s="520"/>
      <c r="C146" s="520"/>
      <c r="D146" s="520"/>
      <c r="E146" s="520"/>
      <c r="F146" s="520"/>
      <c r="G146" s="520"/>
      <c r="H146" s="520"/>
      <c r="I146" s="520"/>
      <c r="J146" s="520"/>
      <c r="K146" s="520"/>
      <c r="L146" s="520"/>
      <c r="M146" s="520"/>
      <c r="N146" s="520"/>
      <c r="O146" s="520"/>
      <c r="P146" s="520"/>
      <c r="Q146" s="520"/>
      <c r="R146" s="520"/>
      <c r="S146" s="520"/>
      <c r="T146" s="520"/>
      <c r="U146" s="520"/>
      <c r="V146" s="520"/>
    </row>
    <row r="147" spans="1:22">
      <c r="A147" s="520"/>
      <c r="B147" s="520"/>
      <c r="C147" s="520"/>
      <c r="D147" s="520"/>
      <c r="E147" s="520"/>
      <c r="F147" s="520"/>
      <c r="G147" s="520"/>
      <c r="H147" s="520"/>
      <c r="I147" s="520"/>
      <c r="J147" s="520"/>
      <c r="K147" s="520"/>
      <c r="L147" s="520"/>
      <c r="M147" s="520"/>
      <c r="N147" s="520"/>
      <c r="O147" s="520"/>
      <c r="P147" s="520"/>
      <c r="Q147" s="520"/>
      <c r="R147" s="520"/>
      <c r="S147" s="520"/>
      <c r="T147" s="520"/>
      <c r="U147" s="520"/>
      <c r="V147" s="520"/>
    </row>
    <row r="148" spans="1:22">
      <c r="A148" s="520"/>
      <c r="B148" s="520"/>
      <c r="C148" s="520"/>
      <c r="D148" s="520"/>
      <c r="E148" s="520"/>
      <c r="F148" s="520"/>
      <c r="G148" s="520"/>
      <c r="H148" s="520"/>
      <c r="I148" s="520"/>
      <c r="J148" s="520"/>
      <c r="K148" s="520"/>
      <c r="L148" s="520"/>
      <c r="M148" s="520"/>
      <c r="N148" s="520"/>
      <c r="O148" s="520"/>
      <c r="P148" s="520"/>
      <c r="Q148" s="520"/>
      <c r="R148" s="520"/>
      <c r="S148" s="520"/>
      <c r="T148" s="520"/>
      <c r="U148" s="520"/>
      <c r="V148" s="520"/>
    </row>
    <row r="149" spans="1:22">
      <c r="A149" s="520"/>
      <c r="B149" s="520"/>
      <c r="C149" s="520"/>
      <c r="D149" s="520"/>
      <c r="E149" s="520"/>
      <c r="F149" s="520"/>
      <c r="G149" s="520"/>
      <c r="H149" s="520"/>
      <c r="I149" s="520"/>
      <c r="J149" s="520"/>
      <c r="K149" s="520"/>
      <c r="L149" s="520"/>
      <c r="M149" s="520"/>
      <c r="N149" s="520"/>
      <c r="O149" s="520"/>
      <c r="P149" s="520"/>
      <c r="Q149" s="520"/>
      <c r="R149" s="520"/>
      <c r="S149" s="520"/>
      <c r="T149" s="520"/>
      <c r="U149" s="520"/>
      <c r="V149" s="520"/>
    </row>
    <row r="150" spans="1:22">
      <c r="A150" s="520"/>
      <c r="B150" s="520"/>
      <c r="C150" s="520"/>
      <c r="D150" s="520"/>
      <c r="E150" s="520"/>
      <c r="F150" s="520"/>
      <c r="G150" s="520"/>
      <c r="H150" s="520"/>
      <c r="I150" s="520"/>
      <c r="J150" s="520"/>
      <c r="K150" s="520"/>
      <c r="L150" s="520"/>
      <c r="M150" s="520"/>
      <c r="N150" s="520"/>
      <c r="O150" s="520"/>
      <c r="P150" s="520"/>
      <c r="Q150" s="520"/>
      <c r="R150" s="520"/>
      <c r="S150" s="520"/>
      <c r="T150" s="520"/>
      <c r="U150" s="520"/>
      <c r="V150" s="520"/>
    </row>
    <row r="151" spans="1:22">
      <c r="A151" s="520"/>
      <c r="B151" s="520"/>
      <c r="C151" s="520"/>
      <c r="D151" s="520"/>
      <c r="E151" s="520"/>
      <c r="F151" s="520"/>
      <c r="G151" s="520"/>
      <c r="H151" s="520"/>
      <c r="I151" s="520"/>
      <c r="J151" s="520"/>
      <c r="K151" s="520"/>
      <c r="L151" s="520"/>
      <c r="M151" s="520"/>
      <c r="N151" s="520"/>
      <c r="O151" s="520"/>
      <c r="P151" s="520"/>
      <c r="Q151" s="520"/>
      <c r="R151" s="520"/>
      <c r="S151" s="520"/>
      <c r="T151" s="520"/>
      <c r="U151" s="520"/>
      <c r="V151" s="520"/>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S76"/>
  <sheetViews>
    <sheetView topLeftCell="A25" zoomScale="75" workbookViewId="0">
      <selection activeCell="D39" sqref="D39"/>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0" t="s">
        <v>416</v>
      </c>
    </row>
    <row r="2" spans="1:11" ht="15.75">
      <c r="A2" s="1000" t="s">
        <v>416</v>
      </c>
    </row>
    <row r="3" spans="1:11">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10" t="str">
        <f>TCOS!$F$5</f>
        <v>AEPTCo subsidiaries in PJM</v>
      </c>
      <c r="G3" s="1510" t="str">
        <f>TCOS!$F$5</f>
        <v>AEPTCo subsidiaries in PJM</v>
      </c>
      <c r="H3" s="21"/>
    </row>
    <row r="4" spans="1:11" ht="12.75" customHeight="1">
      <c r="A4" s="1502" t="str">
        <f>"Cost of Service Formula Rate Using Actual/Projected FF1 Balances"</f>
        <v>Cost of Service Formula Rate Using Actual/Projected FF1 Balances</v>
      </c>
      <c r="B4" s="1502"/>
      <c r="C4" s="1502"/>
      <c r="D4" s="1502"/>
      <c r="E4" s="1502"/>
      <c r="F4" s="1502"/>
      <c r="G4" s="1502"/>
      <c r="H4" s="52"/>
      <c r="I4" s="52"/>
      <c r="J4" s="52"/>
      <c r="K4" s="52"/>
    </row>
    <row r="5" spans="1:11" ht="12.75" customHeight="1">
      <c r="A5" s="1502" t="s">
        <v>288</v>
      </c>
      <c r="B5" s="1502"/>
      <c r="C5" s="1502"/>
      <c r="D5" s="1502"/>
      <c r="E5" s="1502"/>
      <c r="F5" s="1502"/>
      <c r="G5" s="1502"/>
    </row>
    <row r="6" spans="1:11" ht="12.75" customHeight="1">
      <c r="A6" s="1513" t="str">
        <f>TCOS!F9</f>
        <v>AEP Indiana Michigan Transmission Company</v>
      </c>
      <c r="B6" s="1513"/>
      <c r="C6" s="1513"/>
      <c r="D6" s="1513"/>
      <c r="E6" s="1513"/>
      <c r="F6" s="1513"/>
      <c r="G6" s="1513"/>
    </row>
    <row r="7" spans="1:11" ht="12.75" customHeight="1">
      <c r="A7" s="1510"/>
      <c r="B7" s="1510"/>
      <c r="C7" s="1510"/>
      <c r="D7" s="1510"/>
      <c r="E7" s="1510"/>
      <c r="F7" s="1510"/>
      <c r="G7" s="25"/>
    </row>
    <row r="8" spans="1:11" ht="18">
      <c r="A8" s="1546"/>
      <c r="B8" s="1546"/>
      <c r="C8" s="1546"/>
      <c r="D8" s="1546"/>
      <c r="E8" s="1546"/>
      <c r="F8" s="1546"/>
      <c r="G8" s="1546"/>
    </row>
    <row r="9" spans="1:11" ht="18">
      <c r="A9" s="81"/>
      <c r="B9" s="81"/>
      <c r="C9" s="81"/>
      <c r="D9" s="81"/>
      <c r="E9" s="81"/>
      <c r="F9" s="81"/>
      <c r="G9" s="81"/>
    </row>
    <row r="10" spans="1:11" ht="15.75">
      <c r="B10" s="19" t="s">
        <v>462</v>
      </c>
      <c r="C10" s="19" t="s">
        <v>463</v>
      </c>
      <c r="D10" s="19" t="s">
        <v>464</v>
      </c>
      <c r="E10" s="19" t="s">
        <v>465</v>
      </c>
      <c r="F10" s="19" t="s">
        <v>385</v>
      </c>
      <c r="G10" s="19" t="s">
        <v>386</v>
      </c>
    </row>
    <row r="11" spans="1:11" ht="15.75">
      <c r="B11" s="30"/>
      <c r="C11" s="25"/>
      <c r="D11" s="93"/>
      <c r="E11" s="94"/>
      <c r="F11" s="95" t="s">
        <v>388</v>
      </c>
      <c r="G11" s="19"/>
    </row>
    <row r="12" spans="1:11" ht="15.75">
      <c r="A12" s="33" t="s">
        <v>469</v>
      </c>
      <c r="B12" s="30"/>
      <c r="C12" s="39"/>
      <c r="D12" s="33">
        <f>+TCOS!L4</f>
        <v>2021</v>
      </c>
      <c r="E12" s="95" t="s">
        <v>388</v>
      </c>
      <c r="F12" s="33" t="s">
        <v>417</v>
      </c>
      <c r="G12" s="19"/>
    </row>
    <row r="13" spans="1:11" ht="15.75">
      <c r="A13" s="33" t="s">
        <v>407</v>
      </c>
      <c r="B13" s="33" t="s">
        <v>370</v>
      </c>
      <c r="C13" s="33" t="s">
        <v>467</v>
      </c>
      <c r="D13" s="33" t="s">
        <v>371</v>
      </c>
      <c r="E13" s="33" t="s">
        <v>390</v>
      </c>
      <c r="F13" s="33" t="s">
        <v>372</v>
      </c>
      <c r="G13" s="33" t="s">
        <v>373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294</v>
      </c>
      <c r="D17" s="23"/>
      <c r="E17" s="23"/>
      <c r="F17" s="23"/>
      <c r="G17" s="50"/>
    </row>
    <row r="18" spans="1:7">
      <c r="A18" s="32">
        <v>1</v>
      </c>
      <c r="B18" s="962"/>
      <c r="C18" s="556"/>
      <c r="D18" s="555"/>
      <c r="E18" s="48"/>
      <c r="F18" s="48"/>
      <c r="G18" s="22"/>
    </row>
    <row r="19" spans="1:7">
      <c r="A19" s="32">
        <f>+A18+1</f>
        <v>2</v>
      </c>
      <c r="B19" s="963"/>
      <c r="C19" s="964"/>
      <c r="D19" s="555"/>
      <c r="E19" s="48"/>
      <c r="F19" s="48"/>
      <c r="G19" s="22"/>
    </row>
    <row r="20" spans="1:7" ht="15.75">
      <c r="A20" s="32">
        <f>+A19+1</f>
        <v>3</v>
      </c>
      <c r="B20" s="965"/>
      <c r="C20" s="556"/>
      <c r="D20" s="555"/>
      <c r="E20" s="48"/>
      <c r="F20" s="48"/>
      <c r="G20" s="22"/>
    </row>
    <row r="21" spans="1:7" ht="15.75">
      <c r="A21" s="32">
        <f>+A20+1</f>
        <v>4</v>
      </c>
      <c r="B21" s="33"/>
      <c r="C21" s="107" t="s">
        <v>420</v>
      </c>
      <c r="D21" s="41">
        <f>SUM(D18:D20)</f>
        <v>0</v>
      </c>
      <c r="E21" s="48"/>
      <c r="F21" s="48"/>
      <c r="G21" s="33"/>
    </row>
    <row r="22" spans="1:7" ht="15.75">
      <c r="A22" s="32"/>
      <c r="B22" s="33"/>
      <c r="C22" s="107"/>
      <c r="D22" s="114"/>
      <c r="E22" s="23"/>
      <c r="F22" s="23"/>
      <c r="G22" s="33"/>
    </row>
    <row r="23" spans="1:7" ht="15.75">
      <c r="A23" s="10"/>
      <c r="B23" s="33"/>
      <c r="C23" s="33" t="s">
        <v>201</v>
      </c>
      <c r="D23" s="130"/>
      <c r="E23" s="23"/>
      <c r="F23" s="23"/>
      <c r="G23" s="33"/>
    </row>
    <row r="24" spans="1:7" ht="15.75">
      <c r="A24" s="32">
        <f>+A21+1</f>
        <v>5</v>
      </c>
      <c r="B24" s="138"/>
      <c r="C24" s="136"/>
      <c r="D24" s="1247"/>
      <c r="E24" s="23"/>
      <c r="F24" s="23"/>
      <c r="G24" s="33"/>
    </row>
    <row r="25" spans="1:7" ht="15.75">
      <c r="A25" s="137">
        <f>+A24+1</f>
        <v>6</v>
      </c>
      <c r="B25" s="138" t="s">
        <v>187</v>
      </c>
      <c r="C25" s="138" t="s">
        <v>184</v>
      </c>
      <c r="D25" s="555">
        <v>0</v>
      </c>
      <c r="E25" s="23"/>
      <c r="F25" s="23"/>
      <c r="G25" s="33"/>
    </row>
    <row r="26" spans="1:7" ht="15.75">
      <c r="A26" s="32">
        <f>+A25+1</f>
        <v>7</v>
      </c>
      <c r="B26" s="136" t="s">
        <v>188</v>
      </c>
      <c r="C26" s="136" t="s">
        <v>185</v>
      </c>
      <c r="D26" s="555">
        <v>421957.87</v>
      </c>
      <c r="E26" s="23"/>
      <c r="F26" s="23"/>
      <c r="G26" s="33"/>
    </row>
    <row r="27" spans="1:7" ht="15.75">
      <c r="A27" s="137">
        <f t="shared" ref="A27:A32" si="0">+A26+1</f>
        <v>8</v>
      </c>
      <c r="B27" s="138" t="s">
        <v>189</v>
      </c>
      <c r="C27" s="138" t="s">
        <v>186</v>
      </c>
      <c r="D27" s="555">
        <v>0</v>
      </c>
      <c r="E27" s="23"/>
      <c r="F27" s="23"/>
      <c r="G27" s="33"/>
    </row>
    <row r="28" spans="1:7" ht="15.75">
      <c r="A28" s="32">
        <f t="shared" si="0"/>
        <v>9</v>
      </c>
      <c r="B28" s="136" t="s">
        <v>190</v>
      </c>
      <c r="C28" s="136" t="s">
        <v>194</v>
      </c>
      <c r="D28" s="555">
        <v>0</v>
      </c>
      <c r="E28" s="23"/>
      <c r="F28" s="23"/>
      <c r="G28" s="33"/>
    </row>
    <row r="29" spans="1:7" ht="15.75">
      <c r="A29" s="137">
        <f t="shared" si="0"/>
        <v>10</v>
      </c>
      <c r="B29" s="138" t="s">
        <v>191</v>
      </c>
      <c r="C29" s="138" t="s">
        <v>197</v>
      </c>
      <c r="D29" s="555">
        <v>491051.75</v>
      </c>
      <c r="E29" s="23"/>
      <c r="F29" s="23"/>
      <c r="G29" s="33"/>
    </row>
    <row r="30" spans="1:7" ht="15.75">
      <c r="A30" s="32">
        <f t="shared" si="0"/>
        <v>11</v>
      </c>
      <c r="B30" s="136" t="s">
        <v>192</v>
      </c>
      <c r="C30" s="136" t="s">
        <v>198</v>
      </c>
      <c r="D30" s="555">
        <v>0</v>
      </c>
      <c r="E30" s="23"/>
      <c r="F30" s="23"/>
      <c r="G30" s="33"/>
    </row>
    <row r="31" spans="1:7" ht="15.75">
      <c r="A31" s="137">
        <f t="shared" si="0"/>
        <v>12</v>
      </c>
      <c r="B31" s="138" t="s">
        <v>193</v>
      </c>
      <c r="C31" s="138" t="s">
        <v>199</v>
      </c>
      <c r="D31" s="555">
        <v>0</v>
      </c>
      <c r="E31" s="23"/>
      <c r="F31" s="23"/>
      <c r="G31" s="33"/>
    </row>
    <row r="32" spans="1:7" ht="15.75">
      <c r="A32" s="32">
        <f t="shared" si="0"/>
        <v>13</v>
      </c>
      <c r="B32" s="136" t="s">
        <v>195</v>
      </c>
      <c r="C32" s="136" t="s">
        <v>200</v>
      </c>
      <c r="D32" s="555">
        <v>0</v>
      </c>
      <c r="E32" s="23"/>
      <c r="F32" s="23"/>
      <c r="G32" s="33"/>
    </row>
    <row r="33" spans="1:19" ht="15.75">
      <c r="A33" s="137">
        <f>+A32+1</f>
        <v>14</v>
      </c>
      <c r="B33" s="138"/>
      <c r="C33" s="19" t="s">
        <v>196</v>
      </c>
      <c r="D33" s="41">
        <f>SUM(D24:D32)</f>
        <v>913009.62</v>
      </c>
      <c r="E33" s="33"/>
      <c r="F33" s="33"/>
      <c r="G33" s="33"/>
    </row>
    <row r="34" spans="1:19" ht="15.75">
      <c r="A34" s="106"/>
      <c r="B34" s="47"/>
      <c r="C34" s="33"/>
      <c r="D34" s="33"/>
      <c r="E34" s="33"/>
      <c r="F34" s="33"/>
      <c r="G34" s="33"/>
    </row>
    <row r="35" spans="1:19" ht="15.75">
      <c r="A35" s="106"/>
      <c r="B35" s="32"/>
      <c r="C35" s="55" t="s">
        <v>504</v>
      </c>
      <c r="D35" s="25"/>
      <c r="E35" s="25"/>
      <c r="F35" s="25"/>
      <c r="G35" s="25"/>
    </row>
    <row r="36" spans="1:19">
      <c r="A36" s="32">
        <f>+A33+1</f>
        <v>15</v>
      </c>
      <c r="B36" s="962" t="s">
        <v>838</v>
      </c>
      <c r="C36" s="556" t="s">
        <v>839</v>
      </c>
      <c r="D36" s="555">
        <v>310.17</v>
      </c>
      <c r="E36" s="23">
        <f t="shared" ref="E36:E38" si="1">+D36</f>
        <v>310.17</v>
      </c>
      <c r="F36" s="23">
        <v>0</v>
      </c>
      <c r="G36" s="22"/>
    </row>
    <row r="37" spans="1:19">
      <c r="A37" s="32">
        <f>+A36+1</f>
        <v>16</v>
      </c>
      <c r="B37" s="962" t="s">
        <v>840</v>
      </c>
      <c r="C37" s="556" t="s">
        <v>841</v>
      </c>
      <c r="D37" s="555">
        <v>-2.56</v>
      </c>
      <c r="E37" s="23">
        <f t="shared" si="1"/>
        <v>-2.56</v>
      </c>
      <c r="F37" s="23">
        <v>0</v>
      </c>
      <c r="G37" s="22"/>
    </row>
    <row r="38" spans="1:19">
      <c r="A38" s="32">
        <f>+A37+1</f>
        <v>17</v>
      </c>
      <c r="B38" s="962" t="s">
        <v>842</v>
      </c>
      <c r="C38" s="556" t="s">
        <v>843</v>
      </c>
      <c r="D38" s="555">
        <v>595.5</v>
      </c>
      <c r="E38" s="23">
        <f t="shared" si="1"/>
        <v>595.5</v>
      </c>
      <c r="F38" s="23">
        <v>0</v>
      </c>
      <c r="G38" s="22"/>
    </row>
    <row r="39" spans="1:19">
      <c r="A39" s="32">
        <f>+A38+1</f>
        <v>18</v>
      </c>
      <c r="B39" s="962" t="s">
        <v>844</v>
      </c>
      <c r="C39" s="556" t="s">
        <v>845</v>
      </c>
      <c r="D39" s="555">
        <v>52682.82</v>
      </c>
      <c r="E39" s="23">
        <v>0</v>
      </c>
      <c r="F39" s="23">
        <f>D39</f>
        <v>52682.82</v>
      </c>
      <c r="G39" s="50"/>
    </row>
    <row r="40" spans="1:19">
      <c r="A40" s="32">
        <f>+A39+1</f>
        <v>19</v>
      </c>
      <c r="B40" s="962"/>
      <c r="C40" s="556"/>
      <c r="D40" s="555"/>
      <c r="E40" s="23"/>
      <c r="F40" s="23">
        <v>0</v>
      </c>
      <c r="G40" s="50"/>
    </row>
    <row r="41" spans="1:19">
      <c r="A41" s="32">
        <f>+A40+1</f>
        <v>20</v>
      </c>
      <c r="B41" s="962"/>
      <c r="C41" s="556"/>
      <c r="D41" s="555"/>
      <c r="E41" s="23"/>
      <c r="F41" s="23"/>
      <c r="G41" s="50"/>
    </row>
    <row r="42" spans="1:19">
      <c r="A42" s="32"/>
      <c r="B42" s="54"/>
      <c r="C42" s="43"/>
      <c r="D42" s="23"/>
      <c r="E42" s="23"/>
      <c r="F42" s="23"/>
      <c r="G42" s="22"/>
    </row>
    <row r="43" spans="1:19" ht="12.75" customHeight="1">
      <c r="A43" s="32"/>
      <c r="B43" s="24" t="s">
        <v>416</v>
      </c>
      <c r="C43" s="43"/>
      <c r="D43" s="26"/>
      <c r="E43" s="27"/>
      <c r="F43" s="28"/>
      <c r="G43" s="25"/>
    </row>
    <row r="44" spans="1:19" ht="15.75" customHeight="1">
      <c r="A44" s="32">
        <f>+A41+1</f>
        <v>21</v>
      </c>
      <c r="B44" s="30"/>
      <c r="C44" s="1248" t="s">
        <v>633</v>
      </c>
      <c r="D44" s="41">
        <f>SUM(D36:D42)</f>
        <v>53585.93</v>
      </c>
      <c r="E44" s="41">
        <f>SUM(E36:E42)</f>
        <v>903.11</v>
      </c>
      <c r="F44" s="41">
        <f>SUM(F36:F42)</f>
        <v>52682.82</v>
      </c>
      <c r="G44" s="13"/>
    </row>
    <row r="45" spans="1:19" ht="12.75" customHeight="1">
      <c r="A45" s="32"/>
      <c r="B45" s="30"/>
      <c r="C45" s="31"/>
      <c r="D45" s="46"/>
      <c r="E45" s="16"/>
      <c r="F45" s="16"/>
      <c r="G45" s="25"/>
    </row>
    <row r="46" spans="1:19" ht="15.75">
      <c r="A46" s="32"/>
      <c r="B46" s="32"/>
      <c r="C46" s="55" t="s">
        <v>503</v>
      </c>
      <c r="D46" s="16"/>
      <c r="E46" s="16"/>
      <c r="F46" s="16"/>
      <c r="G46" s="25"/>
    </row>
    <row r="47" spans="1:19">
      <c r="A47" s="32">
        <f>+A44+1</f>
        <v>22</v>
      </c>
      <c r="B47" s="962" t="s">
        <v>846</v>
      </c>
      <c r="C47" s="556" t="s">
        <v>847</v>
      </c>
      <c r="D47" s="557">
        <v>0</v>
      </c>
      <c r="E47" s="23">
        <f>+D47</f>
        <v>0</v>
      </c>
      <c r="F47" s="23">
        <v>0</v>
      </c>
      <c r="G47"/>
      <c r="M47" s="12"/>
      <c r="N47" s="44"/>
      <c r="O47" s="45"/>
      <c r="P47" s="45"/>
      <c r="Q47" s="45"/>
      <c r="R47" s="45"/>
      <c r="S47" s="14"/>
    </row>
    <row r="48" spans="1:19">
      <c r="A48" s="32">
        <f>+A47+1</f>
        <v>23</v>
      </c>
      <c r="B48" s="962" t="s">
        <v>848</v>
      </c>
      <c r="C48" s="556" t="s">
        <v>849</v>
      </c>
      <c r="D48" s="557">
        <v>4.9000000000000004</v>
      </c>
      <c r="E48" s="23">
        <f t="shared" ref="E48:E52" si="2">+D48</f>
        <v>4.9000000000000004</v>
      </c>
      <c r="F48" s="23">
        <v>0</v>
      </c>
      <c r="G48"/>
      <c r="M48" s="12"/>
      <c r="N48" s="44"/>
      <c r="O48" s="45"/>
      <c r="P48" s="45"/>
      <c r="Q48" s="45"/>
      <c r="R48" s="45"/>
      <c r="S48" s="14"/>
    </row>
    <row r="49" spans="1:19">
      <c r="A49" s="32">
        <f t="shared" ref="A49:A62" si="3">+A48+1</f>
        <v>24</v>
      </c>
      <c r="B49" s="962" t="s">
        <v>850</v>
      </c>
      <c r="C49" s="556" t="s">
        <v>851</v>
      </c>
      <c r="D49" s="557">
        <v>40.119999999999997</v>
      </c>
      <c r="E49" s="23">
        <f t="shared" si="2"/>
        <v>40.119999999999997</v>
      </c>
      <c r="F49" s="23">
        <v>0</v>
      </c>
      <c r="G49"/>
      <c r="M49" s="12"/>
      <c r="N49" s="44"/>
      <c r="O49" s="45"/>
      <c r="P49" s="45"/>
      <c r="Q49" s="45"/>
      <c r="R49" s="45"/>
      <c r="S49" s="14"/>
    </row>
    <row r="50" spans="1:19">
      <c r="A50" s="32">
        <f t="shared" si="3"/>
        <v>25</v>
      </c>
      <c r="B50" s="962" t="s">
        <v>852</v>
      </c>
      <c r="C50" s="556" t="s">
        <v>853</v>
      </c>
      <c r="D50" s="557">
        <v>0</v>
      </c>
      <c r="E50" s="23">
        <f t="shared" si="2"/>
        <v>0</v>
      </c>
      <c r="F50" s="23">
        <v>0</v>
      </c>
      <c r="G50"/>
      <c r="M50" s="12"/>
      <c r="N50" s="44"/>
      <c r="O50" s="45"/>
      <c r="P50" s="45"/>
      <c r="Q50" s="45"/>
      <c r="R50" s="45"/>
      <c r="S50" s="14"/>
    </row>
    <row r="51" spans="1:19">
      <c r="A51" s="32">
        <f t="shared" si="3"/>
        <v>26</v>
      </c>
      <c r="B51" s="962" t="s">
        <v>957</v>
      </c>
      <c r="C51" s="556" t="s">
        <v>958</v>
      </c>
      <c r="D51" s="557">
        <v>110.5</v>
      </c>
      <c r="E51" s="23">
        <f t="shared" si="2"/>
        <v>110.5</v>
      </c>
      <c r="F51" s="23"/>
      <c r="G51"/>
      <c r="M51" s="12"/>
      <c r="N51" s="44"/>
      <c r="O51" s="45"/>
      <c r="P51" s="45"/>
      <c r="Q51" s="45"/>
      <c r="R51" s="45"/>
      <c r="S51" s="14"/>
    </row>
    <row r="52" spans="1:19">
      <c r="A52" s="32">
        <f t="shared" si="3"/>
        <v>27</v>
      </c>
      <c r="B52" s="962" t="s">
        <v>854</v>
      </c>
      <c r="C52" s="556" t="s">
        <v>855</v>
      </c>
      <c r="D52" s="557">
        <v>87.14</v>
      </c>
      <c r="E52" s="23">
        <f t="shared" si="2"/>
        <v>87.14</v>
      </c>
      <c r="F52" s="23">
        <v>0</v>
      </c>
      <c r="G52"/>
      <c r="M52" s="12"/>
      <c r="N52" s="44"/>
      <c r="O52" s="45"/>
      <c r="P52" s="45"/>
      <c r="Q52" s="45"/>
      <c r="R52" s="45"/>
      <c r="S52" s="14"/>
    </row>
    <row r="53" spans="1:19">
      <c r="A53" s="32">
        <f t="shared" si="3"/>
        <v>28</v>
      </c>
      <c r="B53" s="962"/>
      <c r="C53" s="556"/>
      <c r="D53" s="557"/>
      <c r="E53" s="23"/>
      <c r="F53" s="23"/>
      <c r="G53"/>
      <c r="M53" s="12"/>
      <c r="N53" s="44"/>
      <c r="O53" s="45"/>
      <c r="P53" s="45"/>
      <c r="Q53" s="45"/>
      <c r="R53" s="45"/>
      <c r="S53" s="14"/>
    </row>
    <row r="54" spans="1:19">
      <c r="A54" s="32">
        <f t="shared" si="3"/>
        <v>29</v>
      </c>
      <c r="B54" s="962"/>
      <c r="C54" s="556"/>
      <c r="D54" s="557"/>
      <c r="E54" s="23"/>
      <c r="F54" s="23"/>
      <c r="G54"/>
      <c r="M54" s="12"/>
      <c r="N54" s="44"/>
      <c r="O54" s="45"/>
      <c r="P54" s="45"/>
      <c r="Q54" s="45"/>
      <c r="R54" s="45"/>
      <c r="S54" s="14"/>
    </row>
    <row r="55" spans="1:19">
      <c r="A55" s="32">
        <f t="shared" si="3"/>
        <v>30</v>
      </c>
      <c r="B55" s="962"/>
      <c r="C55" s="556"/>
      <c r="D55" s="557"/>
      <c r="E55" s="23"/>
      <c r="F55" s="23"/>
      <c r="G55"/>
      <c r="M55" s="12"/>
      <c r="N55" s="44"/>
      <c r="O55" s="45"/>
      <c r="P55" s="45"/>
      <c r="Q55" s="45"/>
      <c r="R55" s="45"/>
      <c r="S55" s="14"/>
    </row>
    <row r="56" spans="1:19">
      <c r="A56" s="32">
        <f t="shared" si="3"/>
        <v>31</v>
      </c>
      <c r="B56" s="962"/>
      <c r="C56" s="556"/>
      <c r="D56" s="557"/>
      <c r="E56" s="23"/>
      <c r="F56" s="23"/>
      <c r="G56"/>
      <c r="M56" s="12"/>
      <c r="N56" s="44"/>
      <c r="O56" s="45"/>
      <c r="P56" s="45"/>
      <c r="Q56" s="45"/>
      <c r="R56" s="45"/>
      <c r="S56" s="14"/>
    </row>
    <row r="57" spans="1:19">
      <c r="A57" s="32">
        <f t="shared" si="3"/>
        <v>32</v>
      </c>
      <c r="B57" s="962"/>
      <c r="C57" s="556"/>
      <c r="D57" s="557"/>
      <c r="E57" s="23"/>
      <c r="F57" s="29"/>
      <c r="G57"/>
      <c r="M57" s="12"/>
      <c r="N57" s="44"/>
      <c r="O57" s="45"/>
      <c r="P57" s="45"/>
      <c r="Q57" s="45"/>
      <c r="R57" s="45"/>
      <c r="S57" s="14"/>
    </row>
    <row r="58" spans="1:19">
      <c r="A58" s="32">
        <f t="shared" si="3"/>
        <v>33</v>
      </c>
      <c r="B58" s="962"/>
      <c r="C58" s="556"/>
      <c r="D58" s="557"/>
      <c r="E58" s="23"/>
      <c r="F58" s="29"/>
      <c r="G58"/>
    </row>
    <row r="59" spans="1:19">
      <c r="A59" s="32">
        <f t="shared" si="3"/>
        <v>34</v>
      </c>
      <c r="B59" s="962"/>
      <c r="C59" s="556"/>
      <c r="D59" s="557"/>
      <c r="E59" s="23"/>
      <c r="F59" s="29"/>
      <c r="G59" s="25"/>
    </row>
    <row r="60" spans="1:19">
      <c r="A60" s="32">
        <f t="shared" si="3"/>
        <v>35</v>
      </c>
      <c r="B60" s="962"/>
      <c r="C60" s="556"/>
      <c r="D60" s="557"/>
      <c r="E60" s="23"/>
      <c r="F60" s="29"/>
      <c r="G60" s="25"/>
    </row>
    <row r="61" spans="1:19">
      <c r="A61" s="32">
        <f t="shared" si="3"/>
        <v>36</v>
      </c>
      <c r="B61" s="962"/>
      <c r="C61" s="556"/>
      <c r="D61" s="557"/>
      <c r="E61" s="23"/>
      <c r="F61" s="29"/>
      <c r="G61" s="25"/>
    </row>
    <row r="62" spans="1:19">
      <c r="A62" s="32">
        <f t="shared" si="3"/>
        <v>37</v>
      </c>
      <c r="B62" s="962"/>
      <c r="C62" s="556"/>
      <c r="D62" s="557"/>
      <c r="E62" s="23"/>
      <c r="F62" s="29"/>
      <c r="G62" s="25"/>
    </row>
    <row r="63" spans="1:19">
      <c r="A63" s="32"/>
      <c r="B63" s="24"/>
      <c r="C63" s="25"/>
      <c r="D63" s="34"/>
      <c r="E63" s="35"/>
      <c r="F63" s="34"/>
      <c r="G63" s="25"/>
    </row>
    <row r="64" spans="1:19" ht="15.75">
      <c r="A64" s="32">
        <f>+A62+1</f>
        <v>38</v>
      </c>
      <c r="B64" s="30"/>
      <c r="C64" s="1248" t="s">
        <v>634</v>
      </c>
      <c r="D64" s="36">
        <f>SUM(D47:D63)</f>
        <v>242.65999999999997</v>
      </c>
      <c r="E64" s="36">
        <f>SUM(E47:E63)</f>
        <v>242.65999999999997</v>
      </c>
      <c r="F64" s="36">
        <f>SUM(F47:F63)</f>
        <v>0</v>
      </c>
      <c r="G64" s="13"/>
    </row>
    <row r="65" spans="1:11" ht="12.75" customHeight="1">
      <c r="A65" s="32"/>
      <c r="B65" s="20"/>
      <c r="C65" s="20"/>
      <c r="D65" s="20"/>
      <c r="E65" s="20"/>
      <c r="F65" s="20"/>
      <c r="G65" s="20"/>
    </row>
    <row r="66" spans="1:11" ht="15.75">
      <c r="A66" s="32"/>
      <c r="B66" s="19"/>
      <c r="C66" s="55" t="s">
        <v>502</v>
      </c>
      <c r="D66" s="37"/>
      <c r="E66" s="37"/>
      <c r="F66" s="37"/>
      <c r="G66" s="19"/>
    </row>
    <row r="67" spans="1:11">
      <c r="A67" s="32">
        <f>+A64+1</f>
        <v>39</v>
      </c>
      <c r="B67" s="1302" t="s">
        <v>856</v>
      </c>
      <c r="C67" s="556" t="s">
        <v>807</v>
      </c>
      <c r="D67" s="557">
        <v>116039.712</v>
      </c>
      <c r="E67" s="23">
        <f>D67</f>
        <v>116039.712</v>
      </c>
      <c r="F67" s="29">
        <v>0</v>
      </c>
      <c r="G67" s="12"/>
      <c r="H67" s="44"/>
      <c r="J67" s="14"/>
      <c r="K67" s="14"/>
    </row>
    <row r="68" spans="1:11">
      <c r="A68" s="32">
        <f>+A67+1</f>
        <v>40</v>
      </c>
      <c r="B68" s="1302" t="s">
        <v>857</v>
      </c>
      <c r="C68" s="556" t="s">
        <v>808</v>
      </c>
      <c r="D68" s="557">
        <v>49250.85</v>
      </c>
      <c r="E68" s="23">
        <f>D68</f>
        <v>49250.85</v>
      </c>
      <c r="F68" s="29">
        <v>0</v>
      </c>
      <c r="G68" s="12"/>
      <c r="H68" s="44"/>
      <c r="J68" s="14"/>
      <c r="K68" s="14"/>
    </row>
    <row r="69" spans="1:11">
      <c r="A69" s="32">
        <f t="shared" ref="A69:A71" si="4">+A68+1</f>
        <v>41</v>
      </c>
      <c r="B69" s="1302" t="s">
        <v>968</v>
      </c>
      <c r="C69" s="556" t="s">
        <v>969</v>
      </c>
      <c r="D69" s="557">
        <v>0</v>
      </c>
      <c r="E69" s="23">
        <f>D69</f>
        <v>0</v>
      </c>
      <c r="F69" s="29">
        <v>0</v>
      </c>
      <c r="G69" s="12"/>
      <c r="H69" s="44"/>
      <c r="J69" s="14"/>
      <c r="K69" s="14"/>
    </row>
    <row r="70" spans="1:11">
      <c r="A70" s="32">
        <f t="shared" si="4"/>
        <v>42</v>
      </c>
      <c r="B70" s="1302" t="s">
        <v>858</v>
      </c>
      <c r="C70" s="556" t="s">
        <v>809</v>
      </c>
      <c r="D70" s="557">
        <v>1503.8700000000001</v>
      </c>
      <c r="E70" s="23">
        <v>0</v>
      </c>
      <c r="F70" s="29">
        <f>D70</f>
        <v>1503.8700000000001</v>
      </c>
      <c r="G70" s="12"/>
      <c r="H70" s="44"/>
      <c r="J70" s="14"/>
      <c r="K70" s="14"/>
    </row>
    <row r="71" spans="1:11">
      <c r="A71" s="32">
        <f t="shared" si="4"/>
        <v>43</v>
      </c>
      <c r="B71" s="1302" t="s">
        <v>970</v>
      </c>
      <c r="C71" s="556" t="s">
        <v>971</v>
      </c>
      <c r="D71" s="557">
        <v>-7.0000000000000007E-2</v>
      </c>
      <c r="E71" s="23">
        <f>D71</f>
        <v>-7.0000000000000007E-2</v>
      </c>
      <c r="F71" s="29">
        <v>0</v>
      </c>
      <c r="G71" s="20"/>
    </row>
    <row r="72" spans="1:11">
      <c r="A72" s="32"/>
      <c r="B72" s="20"/>
      <c r="C72" s="20"/>
      <c r="D72" s="20"/>
      <c r="E72" s="20"/>
      <c r="F72" s="20"/>
      <c r="G72" s="20"/>
    </row>
    <row r="73" spans="1:11" ht="15.75">
      <c r="A73" s="32">
        <f>+A71+1</f>
        <v>44</v>
      </c>
      <c r="B73" s="20"/>
      <c r="C73" s="1248" t="s">
        <v>635</v>
      </c>
      <c r="D73" s="36">
        <f>SUM(D67:D72)</f>
        <v>166794.36199999999</v>
      </c>
      <c r="E73" s="36">
        <f>SUM(E67:E72)</f>
        <v>165290.492</v>
      </c>
      <c r="F73" s="36">
        <f>SUM(F67:F72)</f>
        <v>1503.8700000000001</v>
      </c>
      <c r="G73" s="13"/>
    </row>
    <row r="74" spans="1:11">
      <c r="A74" s="32"/>
      <c r="B74" s="49"/>
      <c r="C74" s="9"/>
      <c r="D74" s="9"/>
      <c r="E74" s="9"/>
      <c r="F74" s="9"/>
      <c r="G74" s="9"/>
    </row>
    <row r="75" spans="1:11" ht="12.75">
      <c r="A75" s="108"/>
      <c r="B75"/>
      <c r="C75"/>
      <c r="D75"/>
      <c r="E75"/>
      <c r="F75"/>
    </row>
    <row r="76" spans="1:11" ht="12.75">
      <c r="A76" s="108"/>
      <c r="B76"/>
      <c r="C76"/>
      <c r="D76"/>
      <c r="E76"/>
      <c r="F76"/>
    </row>
  </sheetData>
  <mergeCells count="6">
    <mergeCell ref="A3:G3"/>
    <mergeCell ref="A8:G8"/>
    <mergeCell ref="A7:F7"/>
    <mergeCell ref="A4:G4"/>
    <mergeCell ref="A5:G5"/>
    <mergeCell ref="A6:G6"/>
  </mergeCells>
  <phoneticPr fontId="0" type="noConversion"/>
  <pageMargins left="1.27" right="1.28" top="0.8" bottom="0.67" header="0.75" footer="0.4"/>
  <pageSetup scale="47"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O241"/>
  <sheetViews>
    <sheetView topLeftCell="A4" zoomScaleNormal="100" workbookViewId="0">
      <selection activeCell="E11" sqref="E11"/>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0" t="s">
        <v>416</v>
      </c>
    </row>
    <row r="2" spans="1:15" ht="15.75">
      <c r="A2" s="1000" t="s">
        <v>416</v>
      </c>
    </row>
    <row r="3" spans="1:15"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row>
    <row r="4" spans="1:15" ht="15">
      <c r="A4" s="1532" t="str">
        <f>"Cost of Service Formula Rate Using Actual/Projected FF1 Balances"</f>
        <v>Cost of Service Formula Rate Using Actual/Projected FF1 Balances</v>
      </c>
      <c r="B4" s="1532"/>
      <c r="C4" s="1532"/>
      <c r="D4" s="1532"/>
      <c r="E4" s="1532"/>
      <c r="F4" s="1532"/>
      <c r="G4" s="1532"/>
      <c r="H4" s="1532"/>
    </row>
    <row r="5" spans="1:15" ht="15">
      <c r="A5" s="1532" t="s">
        <v>338</v>
      </c>
      <c r="B5" s="1532"/>
      <c r="C5" s="1532"/>
      <c r="D5" s="1532"/>
      <c r="E5" s="1532"/>
      <c r="F5" s="1532"/>
      <c r="G5" s="1532"/>
      <c r="H5" s="1532"/>
    </row>
    <row r="6" spans="1:15" ht="15">
      <c r="A6" s="1533" t="str">
        <f>TCOS!F9</f>
        <v>AEP Indiana Michigan Transmission Company</v>
      </c>
      <c r="B6" s="1533"/>
      <c r="C6" s="1533"/>
      <c r="D6" s="1533"/>
      <c r="E6" s="1533"/>
      <c r="F6" s="1533"/>
      <c r="G6" s="1533"/>
    </row>
    <row r="7" spans="1:15" ht="12.75" customHeight="1">
      <c r="A7" s="558"/>
      <c r="B7" s="559"/>
      <c r="C7" s="559"/>
      <c r="D7" s="559"/>
      <c r="E7" s="559"/>
      <c r="F7" s="559"/>
      <c r="G7" s="559"/>
      <c r="H7" s="559"/>
      <c r="I7" s="559"/>
      <c r="J7" s="559"/>
      <c r="O7" s="560"/>
    </row>
    <row r="8" spans="1:15" ht="12.75" customHeight="1">
      <c r="A8" s="558"/>
      <c r="B8" s="418"/>
      <c r="C8" s="391"/>
      <c r="D8" s="391"/>
      <c r="E8" s="391"/>
      <c r="F8" s="391"/>
    </row>
    <row r="9" spans="1:15" ht="15">
      <c r="A9" s="561">
        <v>1</v>
      </c>
      <c r="B9" s="572" t="s">
        <v>827</v>
      </c>
      <c r="C9" s="563"/>
      <c r="D9" s="564"/>
      <c r="E9" s="570">
        <v>5.0700000000000002E-2</v>
      </c>
      <c r="F9" s="391"/>
      <c r="G9" s="565"/>
      <c r="H9" s="565"/>
      <c r="L9" s="566"/>
    </row>
    <row r="10" spans="1:15" ht="15">
      <c r="A10" s="566"/>
      <c r="B10" s="562" t="s">
        <v>621</v>
      </c>
      <c r="C10" s="563"/>
      <c r="D10" s="563"/>
      <c r="E10" s="571">
        <v>0.89900000000000002</v>
      </c>
      <c r="F10" s="391"/>
      <c r="G10" s="565"/>
      <c r="H10" s="565"/>
      <c r="L10" s="566"/>
    </row>
    <row r="11" spans="1:15" ht="15">
      <c r="A11" s="566"/>
      <c r="B11" s="562" t="s">
        <v>238</v>
      </c>
      <c r="C11" s="563"/>
      <c r="D11" s="563"/>
      <c r="E11" s="390"/>
      <c r="F11" s="567">
        <f>ROUND(E9*E10,4)</f>
        <v>4.5600000000000002E-2</v>
      </c>
      <c r="G11" s="565"/>
      <c r="L11" s="566"/>
    </row>
    <row r="12" spans="1:15" ht="15">
      <c r="A12" s="566"/>
      <c r="B12" s="562"/>
      <c r="C12" s="563"/>
      <c r="D12" s="563"/>
      <c r="E12" s="390"/>
      <c r="F12" s="567"/>
      <c r="G12" s="565"/>
      <c r="L12" s="566"/>
    </row>
    <row r="13" spans="1:15" ht="15">
      <c r="A13" s="566">
        <f>A9+1</f>
        <v>2</v>
      </c>
      <c r="B13" s="572" t="s">
        <v>828</v>
      </c>
      <c r="C13" s="563"/>
      <c r="D13" s="564"/>
      <c r="E13" s="570">
        <v>0.06</v>
      </c>
      <c r="F13" s="391"/>
      <c r="G13" s="565"/>
      <c r="L13" s="566"/>
    </row>
    <row r="14" spans="1:15" ht="15">
      <c r="A14" s="566"/>
      <c r="B14" s="562" t="s">
        <v>621</v>
      </c>
      <c r="C14" s="563"/>
      <c r="D14" s="563"/>
      <c r="E14" s="571">
        <v>0.1</v>
      </c>
      <c r="F14" s="391"/>
      <c r="G14" s="565"/>
      <c r="L14" s="566"/>
    </row>
    <row r="15" spans="1:15" ht="15">
      <c r="A15" s="566"/>
      <c r="B15" s="562" t="s">
        <v>238</v>
      </c>
      <c r="C15" s="563"/>
      <c r="D15" s="563"/>
      <c r="E15" s="390"/>
      <c r="F15" s="567">
        <f>ROUND(E13*E14,4)</f>
        <v>6.0000000000000001E-3</v>
      </c>
      <c r="G15" s="565"/>
      <c r="L15" s="566"/>
    </row>
    <row r="16" spans="1:15" ht="15">
      <c r="A16" s="566"/>
      <c r="B16" s="562"/>
      <c r="C16" s="563"/>
      <c r="D16" s="563"/>
      <c r="E16" s="390"/>
      <c r="F16" s="567"/>
      <c r="G16" s="565"/>
      <c r="L16" s="566"/>
    </row>
    <row r="17" spans="1:12" ht="15">
      <c r="A17" s="566">
        <f>A13+1</f>
        <v>3</v>
      </c>
      <c r="B17" s="572" t="s">
        <v>115</v>
      </c>
      <c r="C17" s="563"/>
      <c r="D17" s="564"/>
      <c r="E17" s="570"/>
      <c r="F17" s="391"/>
      <c r="G17" s="565"/>
      <c r="L17" s="566"/>
    </row>
    <row r="18" spans="1:12" ht="15">
      <c r="A18" s="566"/>
      <c r="B18" s="562" t="s">
        <v>621</v>
      </c>
      <c r="C18" s="563"/>
      <c r="D18" s="563"/>
      <c r="E18" s="571"/>
      <c r="F18" s="391"/>
      <c r="G18" s="565"/>
      <c r="L18" s="566"/>
    </row>
    <row r="19" spans="1:12" ht="15">
      <c r="A19" s="566"/>
      <c r="B19" s="562" t="s">
        <v>238</v>
      </c>
      <c r="C19" s="563"/>
      <c r="D19" s="563"/>
      <c r="E19" s="390"/>
      <c r="F19" s="567">
        <f>ROUND(E17*E18,4)</f>
        <v>0</v>
      </c>
      <c r="G19" s="565"/>
      <c r="L19" s="566"/>
    </row>
    <row r="20" spans="1:12" ht="15">
      <c r="A20" s="566"/>
      <c r="B20" s="562"/>
      <c r="C20" s="563"/>
      <c r="D20" s="563"/>
      <c r="E20" s="390"/>
      <c r="F20" s="567"/>
      <c r="G20" s="565"/>
      <c r="L20" s="566"/>
    </row>
    <row r="21" spans="1:12" ht="15">
      <c r="A21" s="566">
        <f>A17+1</f>
        <v>4</v>
      </c>
      <c r="B21" s="572" t="s">
        <v>115</v>
      </c>
      <c r="C21" s="563"/>
      <c r="D21" s="564"/>
      <c r="E21" s="570"/>
      <c r="F21" s="391"/>
      <c r="G21" s="565"/>
      <c r="L21" s="566"/>
    </row>
    <row r="22" spans="1:12" ht="15">
      <c r="A22" s="566"/>
      <c r="B22" s="562" t="s">
        <v>621</v>
      </c>
      <c r="C22" s="563"/>
      <c r="D22" s="563"/>
      <c r="E22" s="571"/>
      <c r="F22" s="391"/>
      <c r="G22" s="565"/>
      <c r="L22" s="566"/>
    </row>
    <row r="23" spans="1:12" ht="15">
      <c r="A23" s="566"/>
      <c r="B23" s="562" t="s">
        <v>238</v>
      </c>
      <c r="C23" s="563"/>
      <c r="D23" s="563"/>
      <c r="E23" s="390"/>
      <c r="F23" s="567">
        <f>ROUND(E21*E22,4)</f>
        <v>0</v>
      </c>
      <c r="G23" s="565"/>
      <c r="L23" s="566"/>
    </row>
    <row r="24" spans="1:12" ht="15">
      <c r="A24" s="566"/>
      <c r="B24" s="562"/>
      <c r="C24" s="563"/>
      <c r="D24" s="563"/>
      <c r="E24" s="390"/>
      <c r="F24" s="567"/>
      <c r="G24" s="565"/>
      <c r="L24" s="566"/>
    </row>
    <row r="25" spans="1:12" ht="15">
      <c r="A25" s="566">
        <f>A21+1</f>
        <v>5</v>
      </c>
      <c r="B25" s="572" t="s">
        <v>115</v>
      </c>
      <c r="C25" s="563"/>
      <c r="D25" s="564"/>
      <c r="E25" s="570"/>
      <c r="F25" s="568"/>
      <c r="G25" s="565"/>
      <c r="L25" s="566"/>
    </row>
    <row r="26" spans="1:12" ht="15">
      <c r="A26" s="566"/>
      <c r="B26" s="562" t="s">
        <v>621</v>
      </c>
      <c r="C26" s="563"/>
      <c r="D26" s="563"/>
      <c r="E26" s="571"/>
      <c r="F26" s="568"/>
      <c r="G26" s="565"/>
      <c r="L26" s="566"/>
    </row>
    <row r="27" spans="1:12" ht="15">
      <c r="A27" s="566"/>
      <c r="B27" s="562" t="s">
        <v>238</v>
      </c>
      <c r="C27" s="563"/>
      <c r="D27" s="563"/>
      <c r="E27" s="390"/>
      <c r="F27" s="567">
        <f>ROUND(E25*E26,4)</f>
        <v>0</v>
      </c>
      <c r="G27" s="565"/>
      <c r="L27" s="566"/>
    </row>
    <row r="28" spans="1:12" ht="15">
      <c r="A28" s="566"/>
      <c r="B28" s="562"/>
      <c r="C28" s="563"/>
      <c r="D28" s="563"/>
      <c r="E28" s="563"/>
      <c r="F28" s="568"/>
      <c r="G28" s="565"/>
      <c r="L28" s="566"/>
    </row>
    <row r="29" spans="1:12" ht="15.75" thickBot="1">
      <c r="A29" s="566"/>
      <c r="B29" s="390" t="s">
        <v>495</v>
      </c>
      <c r="C29" s="390"/>
      <c r="D29" s="390"/>
      <c r="E29" s="390"/>
      <c r="F29" s="569">
        <f>ROUND(SUM(F11:F28),4)</f>
        <v>5.16E-2</v>
      </c>
      <c r="G29" s="565"/>
      <c r="L29" s="566"/>
    </row>
    <row r="30" spans="1:12" ht="13.5" thickTop="1">
      <c r="A30" s="566"/>
      <c r="G30" s="389"/>
      <c r="L30" s="566"/>
    </row>
    <row r="31" spans="1:12">
      <c r="A31" s="566"/>
      <c r="G31" s="389"/>
      <c r="H31" s="389"/>
      <c r="L31" s="566"/>
    </row>
    <row r="32" spans="1:12">
      <c r="A32" s="566"/>
      <c r="G32" s="389"/>
      <c r="H32" s="389"/>
      <c r="L32" s="566"/>
    </row>
    <row r="33" spans="1:12" ht="12.75" customHeight="1">
      <c r="A33" s="566"/>
      <c r="C33" s="390"/>
      <c r="D33" s="390"/>
      <c r="E33" s="390"/>
      <c r="F33" s="390"/>
      <c r="G33" s="389"/>
      <c r="H33" s="389"/>
      <c r="L33" s="566"/>
    </row>
    <row r="34" spans="1:12">
      <c r="A34" s="346" t="s">
        <v>297</v>
      </c>
      <c r="B34" s="346" t="s">
        <v>202</v>
      </c>
      <c r="C34" s="346"/>
      <c r="D34" s="346"/>
      <c r="E34" s="346"/>
      <c r="F34" s="346"/>
      <c r="G34" s="346"/>
      <c r="H34" s="389"/>
      <c r="I34" s="389"/>
      <c r="L34" s="389"/>
    </row>
    <row r="241" spans="2:2">
      <c r="B241" s="173" t="s">
        <v>33</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C216"/>
  <sheetViews>
    <sheetView view="pageBreakPreview" topLeftCell="A34" zoomScale="60" zoomScaleNormal="80" zoomScalePageLayoutView="50" workbookViewId="0">
      <selection activeCell="G56" sqref="G56"/>
    </sheetView>
  </sheetViews>
  <sheetFormatPr defaultRowHeight="15"/>
  <cols>
    <col min="1" max="1" width="7.28515625" style="639" customWidth="1"/>
    <col min="2" max="2" width="1.7109375" style="578" customWidth="1"/>
    <col min="3" max="3" width="62.42578125" style="578" customWidth="1"/>
    <col min="4" max="4" width="11" style="578" customWidth="1"/>
    <col min="5" max="5" width="20.42578125" style="640" customWidth="1"/>
    <col min="6" max="6" width="1.7109375" style="573" customWidth="1"/>
    <col min="7" max="7" width="20" style="573" bestFit="1" customWidth="1"/>
    <col min="8" max="8" width="1.7109375" style="573" customWidth="1"/>
    <col min="9" max="9" width="21.42578125" style="573" customWidth="1"/>
    <col min="10" max="10" width="1.7109375" style="573" customWidth="1"/>
    <col min="11" max="11" width="17.7109375" style="573" bestFit="1" customWidth="1"/>
    <col min="12" max="12" width="3.42578125" style="573" customWidth="1"/>
    <col min="13" max="13" width="22.5703125" style="573" customWidth="1"/>
    <col min="14" max="14" width="1.28515625" style="573" customWidth="1"/>
    <col min="15" max="15" width="22.140625" style="574" customWidth="1"/>
    <col min="16" max="16384" width="9.140625" style="573"/>
  </cols>
  <sheetData>
    <row r="1" spans="1:29" ht="15.75">
      <c r="A1" s="1000" t="s">
        <v>416</v>
      </c>
    </row>
    <row r="2" spans="1:29" ht="15.75">
      <c r="A2" s="1000" t="s">
        <v>416</v>
      </c>
    </row>
    <row r="3" spans="1:29" ht="18.75" customHeight="1">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1501" t="str">
        <f>TCOS!$F$5</f>
        <v>AEPTCo subsidiaries in PJM</v>
      </c>
    </row>
    <row r="4" spans="1:29" ht="18.75" customHeight="1">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row>
    <row r="5" spans="1:29" ht="18.75" customHeight="1">
      <c r="A5" s="1532" t="s">
        <v>257</v>
      </c>
      <c r="B5" s="1532"/>
      <c r="C5" s="1532"/>
      <c r="D5" s="1532"/>
      <c r="E5" s="1532"/>
      <c r="F5" s="1532"/>
      <c r="G5" s="1532"/>
      <c r="H5" s="1532"/>
      <c r="I5" s="1532"/>
      <c r="J5" s="1532"/>
      <c r="K5" s="1532"/>
      <c r="L5" s="1532"/>
      <c r="M5" s="1532"/>
    </row>
    <row r="6" spans="1:29" ht="18.75" customHeight="1">
      <c r="A6" s="1548" t="str">
        <f>TCOS!F9</f>
        <v>AEP Indiana Michigan Transmission Company</v>
      </c>
      <c r="B6" s="1548"/>
      <c r="C6" s="1548"/>
      <c r="D6" s="1548"/>
      <c r="E6" s="1548"/>
      <c r="F6" s="1548"/>
      <c r="G6" s="1548"/>
      <c r="H6" s="1548"/>
      <c r="I6" s="1548"/>
      <c r="J6" s="1548"/>
      <c r="K6" s="1548"/>
      <c r="L6" s="1548"/>
      <c r="M6" s="1548"/>
    </row>
    <row r="7" spans="1:29" ht="18" customHeight="1">
      <c r="A7" s="1533"/>
      <c r="B7" s="1533"/>
      <c r="C7" s="1533"/>
      <c r="D7" s="1533"/>
      <c r="E7" s="1533"/>
      <c r="F7" s="1533"/>
      <c r="G7" s="1533"/>
      <c r="H7" s="1533"/>
      <c r="I7" s="1533"/>
      <c r="J7" s="1533"/>
      <c r="K7" s="1533"/>
      <c r="L7" s="1533"/>
      <c r="M7" s="1533"/>
    </row>
    <row r="8" spans="1:29" ht="18" customHeight="1">
      <c r="A8" s="1544"/>
      <c r="B8" s="1544"/>
      <c r="C8" s="1544"/>
      <c r="D8" s="1544"/>
      <c r="E8" s="1544"/>
      <c r="F8" s="1544"/>
      <c r="G8" s="1544"/>
      <c r="H8" s="1544"/>
      <c r="I8" s="1544"/>
      <c r="J8" s="1544"/>
      <c r="K8" s="1544"/>
      <c r="L8" s="1544"/>
      <c r="M8" s="1544"/>
    </row>
    <row r="9" spans="1:29" ht="18" customHeight="1">
      <c r="A9" s="516"/>
      <c r="B9" s="516"/>
      <c r="C9" s="516"/>
      <c r="D9" s="516"/>
      <c r="E9" s="516"/>
      <c r="F9" s="516"/>
      <c r="G9" s="516"/>
      <c r="H9" s="516"/>
      <c r="I9" s="516"/>
      <c r="J9" s="516"/>
      <c r="K9" s="516"/>
      <c r="L9" s="516"/>
      <c r="M9" s="516"/>
    </row>
    <row r="10" spans="1:29" ht="19.5" customHeight="1">
      <c r="A10" s="575"/>
      <c r="B10" s="576"/>
      <c r="C10" s="577" t="s">
        <v>462</v>
      </c>
      <c r="E10" s="577" t="s">
        <v>463</v>
      </c>
      <c r="G10" s="577" t="s">
        <v>464</v>
      </c>
      <c r="I10" s="577" t="s">
        <v>465</v>
      </c>
      <c r="K10" s="577" t="s">
        <v>385</v>
      </c>
      <c r="M10" s="577" t="s">
        <v>386</v>
      </c>
    </row>
    <row r="11" spans="1:29" ht="18">
      <c r="A11" s="579"/>
      <c r="B11" s="580"/>
      <c r="C11" s="580"/>
      <c r="D11" s="580"/>
      <c r="E11" s="173"/>
      <c r="F11" s="173"/>
      <c r="G11" s="173"/>
      <c r="H11" s="173"/>
      <c r="I11" s="173"/>
      <c r="J11" s="173"/>
      <c r="K11" s="173"/>
      <c r="L11" s="173"/>
      <c r="M11" s="173"/>
      <c r="Q11" s="418"/>
      <c r="R11" s="418"/>
      <c r="S11" s="418"/>
      <c r="T11" s="418"/>
      <c r="U11" s="418"/>
      <c r="V11" s="418"/>
      <c r="W11" s="418"/>
      <c r="X11" s="418"/>
      <c r="Y11" s="418"/>
      <c r="Z11" s="418"/>
      <c r="AA11" s="418"/>
      <c r="AB11" s="418"/>
      <c r="AC11" s="418"/>
    </row>
    <row r="12" spans="1:29" ht="19.5">
      <c r="A12" s="579" t="s">
        <v>469</v>
      </c>
      <c r="B12" s="580"/>
      <c r="C12" s="580"/>
      <c r="D12" s="580"/>
      <c r="E12" s="581" t="s">
        <v>420</v>
      </c>
      <c r="F12" s="579"/>
      <c r="G12" s="579"/>
      <c r="H12" s="579"/>
      <c r="I12" s="579"/>
      <c r="J12" s="579"/>
      <c r="K12" s="582"/>
      <c r="L12" s="582"/>
      <c r="M12" s="583"/>
    </row>
    <row r="13" spans="1:29" ht="19.5">
      <c r="A13" s="584" t="s">
        <v>419</v>
      </c>
      <c r="B13" s="580"/>
      <c r="C13" s="584" t="s">
        <v>112</v>
      </c>
      <c r="D13" s="580"/>
      <c r="E13" s="585" t="s">
        <v>483</v>
      </c>
      <c r="F13" s="579"/>
      <c r="G13" s="584" t="s">
        <v>116</v>
      </c>
      <c r="H13" s="579"/>
      <c r="I13" s="584" t="s">
        <v>461</v>
      </c>
      <c r="J13" s="579"/>
      <c r="K13" s="586" t="s">
        <v>481</v>
      </c>
      <c r="L13" s="587"/>
      <c r="M13" s="586" t="s">
        <v>117</v>
      </c>
    </row>
    <row r="14" spans="1:29" ht="19.5">
      <c r="A14" s="588"/>
      <c r="B14" s="576"/>
      <c r="C14" s="589"/>
      <c r="D14" s="589"/>
      <c r="E14" s="589" t="s">
        <v>335</v>
      </c>
      <c r="F14" s="589"/>
      <c r="G14" s="589"/>
      <c r="H14" s="589"/>
      <c r="I14" s="589"/>
      <c r="J14" s="589"/>
      <c r="K14" s="590"/>
      <c r="L14" s="590"/>
    </row>
    <row r="15" spans="1:29" ht="19.5">
      <c r="A15" s="575"/>
      <c r="B15" s="576"/>
      <c r="C15" s="576"/>
      <c r="D15" s="576"/>
      <c r="E15" s="591"/>
      <c r="F15" s="592"/>
      <c r="G15" s="592"/>
      <c r="H15" s="592"/>
      <c r="I15" s="593"/>
      <c r="J15" s="592"/>
      <c r="K15" s="590"/>
      <c r="L15" s="590"/>
    </row>
    <row r="16" spans="1:29" ht="19.5">
      <c r="A16" s="575">
        <v>1</v>
      </c>
      <c r="B16" s="576"/>
      <c r="C16" s="594" t="s">
        <v>128</v>
      </c>
      <c r="D16" s="576"/>
      <c r="E16" s="590"/>
      <c r="F16" s="590"/>
      <c r="G16" s="595"/>
      <c r="H16" s="595"/>
      <c r="I16" s="595"/>
      <c r="J16" s="595"/>
      <c r="K16" s="595"/>
      <c r="L16" s="595"/>
      <c r="M16" s="596"/>
    </row>
    <row r="17" spans="1:15" ht="19.5">
      <c r="A17" s="575">
        <f>+A16+1</f>
        <v>2</v>
      </c>
      <c r="B17" s="576"/>
      <c r="C17" s="592" t="s">
        <v>113</v>
      </c>
      <c r="D17" s="576"/>
      <c r="E17" s="597">
        <f>+'WS H-p2 Detail of Tax Amts'!E14</f>
        <v>4</v>
      </c>
      <c r="F17" s="590"/>
      <c r="G17" s="595"/>
      <c r="H17" s="595"/>
      <c r="I17" s="595"/>
      <c r="J17" s="595"/>
      <c r="K17" s="595"/>
      <c r="L17" s="595"/>
      <c r="M17" s="596">
        <f>+E17</f>
        <v>4</v>
      </c>
    </row>
    <row r="18" spans="1:15" ht="19.5">
      <c r="A18" s="575"/>
      <c r="B18" s="576"/>
      <c r="C18" s="582"/>
      <c r="D18" s="576"/>
      <c r="E18" s="598"/>
      <c r="F18" s="590"/>
      <c r="G18" s="595"/>
      <c r="H18" s="595"/>
      <c r="I18" s="595"/>
      <c r="J18" s="595"/>
      <c r="K18" s="595"/>
      <c r="L18" s="595"/>
      <c r="M18" s="596"/>
    </row>
    <row r="19" spans="1:15" ht="19.5">
      <c r="A19" s="575">
        <f>+A17+1</f>
        <v>3</v>
      </c>
      <c r="B19" s="576"/>
      <c r="C19" s="594" t="s">
        <v>129</v>
      </c>
      <c r="D19" s="576"/>
      <c r="E19" s="598"/>
      <c r="F19" s="590"/>
      <c r="G19" s="595"/>
      <c r="H19" s="595"/>
      <c r="I19" s="595"/>
      <c r="J19" s="595"/>
      <c r="K19" s="595"/>
      <c r="L19" s="595"/>
      <c r="M19" s="596"/>
    </row>
    <row r="20" spans="1:15" ht="19.5">
      <c r="A20" s="575">
        <f>+A19+1</f>
        <v>4</v>
      </c>
      <c r="B20" s="576"/>
      <c r="C20" s="592" t="s">
        <v>812</v>
      </c>
      <c r="D20" s="592"/>
      <c r="E20" s="597">
        <f>'WS H-p2 Detail of Tax Amts'!E23</f>
        <v>11370391</v>
      </c>
      <c r="F20" s="592"/>
      <c r="G20" s="595">
        <f>+E20</f>
        <v>11370391</v>
      </c>
      <c r="H20" s="595"/>
      <c r="I20" s="595"/>
      <c r="J20" s="595"/>
      <c r="K20" s="595"/>
      <c r="L20" s="595"/>
      <c r="M20" s="596"/>
      <c r="O20" s="173"/>
    </row>
    <row r="21" spans="1:15" ht="19.5">
      <c r="A21" s="575">
        <f>+A20+1</f>
        <v>5</v>
      </c>
      <c r="B21" s="576"/>
      <c r="C21" s="592" t="s">
        <v>813</v>
      </c>
      <c r="D21" s="592"/>
      <c r="E21" s="597">
        <f>'WS H-p2 Detail of Tax Amts'!E30</f>
        <v>17438624</v>
      </c>
      <c r="F21" s="592"/>
      <c r="G21" s="595">
        <f>+E21</f>
        <v>17438624</v>
      </c>
      <c r="H21" s="595"/>
      <c r="I21" s="595"/>
      <c r="J21" s="595"/>
      <c r="K21" s="595"/>
      <c r="L21" s="595"/>
      <c r="M21" s="596"/>
      <c r="O21" s="173"/>
    </row>
    <row r="22" spans="1:15" ht="19.5">
      <c r="A22" s="575">
        <f>+A21+1</f>
        <v>6</v>
      </c>
      <c r="B22" s="576"/>
      <c r="C22" s="592" t="s">
        <v>619</v>
      </c>
      <c r="D22" s="592"/>
      <c r="E22" s="597">
        <f>'WS H-p2 Detail of Tax Amts'!E37</f>
        <v>0</v>
      </c>
      <c r="F22" s="592"/>
      <c r="G22" s="595">
        <f>+E22</f>
        <v>0</v>
      </c>
      <c r="H22" s="595"/>
      <c r="I22" s="595"/>
      <c r="J22" s="595"/>
      <c r="K22" s="595"/>
      <c r="L22" s="595"/>
      <c r="M22" s="596"/>
      <c r="O22" s="173"/>
    </row>
    <row r="23" spans="1:15" ht="19.5">
      <c r="A23" s="575">
        <f>+A22+1</f>
        <v>7</v>
      </c>
      <c r="B23" s="576"/>
      <c r="C23" s="592" t="s">
        <v>253</v>
      </c>
      <c r="D23" s="599"/>
      <c r="E23" s="597">
        <f>+'WS H-p2 Detail of Tax Amts'!E40</f>
        <v>0</v>
      </c>
      <c r="F23" s="590"/>
      <c r="G23" s="595">
        <f>+E23</f>
        <v>0</v>
      </c>
      <c r="H23" s="595"/>
      <c r="I23" s="595"/>
      <c r="J23" s="595"/>
      <c r="K23" s="595"/>
      <c r="L23" s="595"/>
      <c r="M23" s="596"/>
      <c r="O23" s="173"/>
    </row>
    <row r="24" spans="1:15" ht="19.5">
      <c r="A24" s="575"/>
      <c r="B24" s="576"/>
      <c r="C24" s="582"/>
      <c r="D24" s="576"/>
      <c r="E24" s="598"/>
      <c r="F24" s="590"/>
      <c r="G24" s="595"/>
      <c r="H24" s="595"/>
      <c r="I24" s="595"/>
      <c r="J24" s="595"/>
      <c r="K24" s="595"/>
      <c r="L24" s="595"/>
      <c r="M24" s="596"/>
      <c r="O24" s="600"/>
    </row>
    <row r="25" spans="1:15" ht="19.5">
      <c r="A25" s="575">
        <f>+A23+1</f>
        <v>8</v>
      </c>
      <c r="B25" s="576"/>
      <c r="C25" s="594" t="s">
        <v>130</v>
      </c>
      <c r="D25" s="576"/>
      <c r="E25" s="598"/>
      <c r="F25" s="590"/>
      <c r="G25" s="595"/>
      <c r="H25" s="595"/>
      <c r="I25" s="595"/>
      <c r="J25" s="595"/>
      <c r="K25" s="595"/>
      <c r="L25" s="595"/>
      <c r="M25" s="596"/>
      <c r="O25" s="600"/>
    </row>
    <row r="26" spans="1:15" ht="19.5">
      <c r="A26" s="575">
        <f>+A25+1</f>
        <v>9</v>
      </c>
      <c r="B26" s="576"/>
      <c r="C26" s="592" t="s">
        <v>126</v>
      </c>
      <c r="D26" s="576"/>
      <c r="E26" s="597">
        <f>+'WS H-p2 Detail of Tax Amts'!E50</f>
        <v>0</v>
      </c>
      <c r="F26" s="590"/>
      <c r="G26" s="595"/>
      <c r="H26" s="595"/>
      <c r="I26" s="595">
        <f>+E26</f>
        <v>0</v>
      </c>
      <c r="J26" s="595"/>
      <c r="K26" s="595"/>
      <c r="L26" s="595"/>
      <c r="M26" s="596"/>
      <c r="O26" s="600"/>
    </row>
    <row r="27" spans="1:15" ht="19.5">
      <c r="A27" s="575">
        <f>+A26+1</f>
        <v>10</v>
      </c>
      <c r="B27" s="576"/>
      <c r="C27" s="592" t="s">
        <v>119</v>
      </c>
      <c r="D27" s="576"/>
      <c r="E27" s="597">
        <f>+'WS H-p2 Detail of Tax Amts'!E52</f>
        <v>0</v>
      </c>
      <c r="F27" s="590"/>
      <c r="G27" s="590"/>
      <c r="H27" s="590"/>
      <c r="I27" s="596">
        <f>+E27</f>
        <v>0</v>
      </c>
      <c r="J27" s="592"/>
      <c r="K27" s="590"/>
      <c r="L27" s="590"/>
      <c r="M27" s="596"/>
    </row>
    <row r="28" spans="1:15" ht="19.5">
      <c r="A28" s="575">
        <f>+A27+1</f>
        <v>11</v>
      </c>
      <c r="B28" s="576"/>
      <c r="C28" s="592" t="s">
        <v>120</v>
      </c>
      <c r="D28" s="576"/>
      <c r="E28" s="597">
        <f>+'WS H-p2 Detail of Tax Amts'!E54</f>
        <v>0</v>
      </c>
      <c r="F28" s="590"/>
      <c r="G28" s="590"/>
      <c r="H28" s="590"/>
      <c r="I28" s="596">
        <f>+E28</f>
        <v>0</v>
      </c>
      <c r="J28" s="591"/>
      <c r="K28" s="590"/>
      <c r="L28" s="590"/>
      <c r="M28" s="596"/>
    </row>
    <row r="29" spans="1:15" ht="19.5">
      <c r="A29" s="575" t="s">
        <v>416</v>
      </c>
      <c r="B29" s="576"/>
      <c r="C29" s="590"/>
      <c r="D29" s="576"/>
      <c r="E29" s="598"/>
      <c r="F29" s="590"/>
      <c r="G29" s="590"/>
      <c r="H29" s="590"/>
      <c r="I29" s="601"/>
      <c r="J29" s="602"/>
      <c r="K29" s="603"/>
      <c r="L29" s="603"/>
      <c r="M29" s="596"/>
    </row>
    <row r="30" spans="1:15" ht="19.5">
      <c r="A30" s="575">
        <f>A28+1</f>
        <v>12</v>
      </c>
      <c r="B30" s="576"/>
      <c r="C30" s="604" t="s">
        <v>322</v>
      </c>
      <c r="D30" s="576"/>
      <c r="E30" s="605"/>
      <c r="F30" s="606"/>
      <c r="G30" s="606"/>
      <c r="H30" s="606"/>
      <c r="I30" s="607"/>
      <c r="J30" s="608"/>
      <c r="K30" s="609"/>
      <c r="L30" s="609"/>
      <c r="M30" s="610"/>
    </row>
    <row r="31" spans="1:15" ht="19.5">
      <c r="A31" s="575">
        <f>A30+1</f>
        <v>13</v>
      </c>
      <c r="B31" s="576"/>
      <c r="C31" s="592" t="s">
        <v>224</v>
      </c>
      <c r="D31" s="599"/>
      <c r="E31" s="597">
        <f>+'WS H-p2 Detail of Tax Amts'!E59</f>
        <v>0</v>
      </c>
      <c r="F31" s="611"/>
      <c r="G31" s="590"/>
      <c r="H31" s="590"/>
      <c r="I31" s="601"/>
      <c r="J31" s="602"/>
      <c r="K31" s="603"/>
      <c r="L31" s="603"/>
      <c r="M31" s="596">
        <f>E31</f>
        <v>0</v>
      </c>
    </row>
    <row r="32" spans="1:15" ht="19.5">
      <c r="A32" s="575"/>
      <c r="B32" s="576"/>
      <c r="C32" s="590"/>
      <c r="D32" s="576"/>
      <c r="E32" s="598"/>
      <c r="F32" s="590"/>
      <c r="G32" s="590"/>
      <c r="H32" s="590"/>
      <c r="I32" s="601"/>
      <c r="J32" s="602"/>
      <c r="K32" s="603"/>
      <c r="L32" s="603"/>
      <c r="M32" s="596"/>
    </row>
    <row r="33" spans="1:13" ht="19.5">
      <c r="A33" s="612">
        <f>A31+1</f>
        <v>14</v>
      </c>
      <c r="B33" s="613"/>
      <c r="C33" s="594" t="s">
        <v>127</v>
      </c>
      <c r="D33" s="614"/>
      <c r="E33" s="598"/>
      <c r="F33" s="590"/>
      <c r="G33" s="596"/>
      <c r="H33" s="596"/>
      <c r="I33" s="596"/>
      <c r="J33" s="596"/>
      <c r="K33" s="596"/>
      <c r="L33" s="596"/>
      <c r="M33" s="596"/>
    </row>
    <row r="34" spans="1:13" ht="19.5">
      <c r="A34" s="612">
        <f>A33+1</f>
        <v>15</v>
      </c>
      <c r="B34" s="613"/>
      <c r="C34" s="592" t="s">
        <v>223</v>
      </c>
      <c r="D34" s="614"/>
      <c r="E34" s="597">
        <f>+'WS H-p2 Detail of Tax Amts'!E62</f>
        <v>0</v>
      </c>
      <c r="F34" s="611"/>
      <c r="G34" s="596"/>
      <c r="H34" s="596"/>
      <c r="I34" s="596"/>
      <c r="J34" s="596"/>
      <c r="K34" s="596"/>
      <c r="L34" s="596"/>
      <c r="M34" s="596">
        <f>E34</f>
        <v>0</v>
      </c>
    </row>
    <row r="35" spans="1:13" ht="19.5">
      <c r="A35" s="575">
        <f>A34+1</f>
        <v>16</v>
      </c>
      <c r="B35" s="576"/>
      <c r="C35" s="592" t="s">
        <v>121</v>
      </c>
      <c r="D35" s="576"/>
      <c r="E35" s="615">
        <f>+'WS H-p2 Detail of Tax Amts'!E65</f>
        <v>0</v>
      </c>
      <c r="F35" s="590"/>
      <c r="G35" s="596"/>
      <c r="H35" s="596"/>
      <c r="I35" s="596"/>
      <c r="J35" s="596"/>
      <c r="K35" s="596">
        <f>+E35</f>
        <v>0</v>
      </c>
      <c r="L35" s="596"/>
      <c r="M35" s="596"/>
    </row>
    <row r="36" spans="1:13" ht="19.5">
      <c r="A36" s="575">
        <f t="shared" ref="A36:A41" si="0">+A35+1</f>
        <v>17</v>
      </c>
      <c r="B36" s="576"/>
      <c r="C36" s="592" t="s">
        <v>122</v>
      </c>
      <c r="D36" s="173"/>
      <c r="E36" s="615">
        <f>+'WS H-p2 Detail of Tax Amts'!E69</f>
        <v>0</v>
      </c>
      <c r="F36" s="590"/>
      <c r="G36" s="615"/>
      <c r="H36" s="615"/>
      <c r="I36" s="615"/>
      <c r="J36" s="615"/>
      <c r="K36" s="596">
        <f>+E36</f>
        <v>0</v>
      </c>
      <c r="L36" s="615"/>
      <c r="M36" s="596"/>
    </row>
    <row r="37" spans="1:13" ht="19.5">
      <c r="A37" s="575">
        <f>+A36+1</f>
        <v>18</v>
      </c>
      <c r="B37" s="576"/>
      <c r="C37" s="592" t="s">
        <v>123</v>
      </c>
      <c r="D37" s="173"/>
      <c r="E37" s="615">
        <f>'WS H-p2 Detail of Tax Amts'!E81</f>
        <v>0</v>
      </c>
      <c r="F37" s="590"/>
      <c r="G37" s="596"/>
      <c r="H37" s="596"/>
      <c r="I37" s="596"/>
      <c r="J37" s="596"/>
      <c r="K37" s="596">
        <f>+E37</f>
        <v>0</v>
      </c>
      <c r="L37" s="596"/>
      <c r="M37" s="596"/>
    </row>
    <row r="38" spans="1:13" ht="19.5">
      <c r="A38" s="575">
        <f t="shared" si="0"/>
        <v>19</v>
      </c>
      <c r="B38" s="576"/>
      <c r="C38" s="592" t="s">
        <v>124</v>
      </c>
      <c r="D38" s="576"/>
      <c r="E38" s="615">
        <f>+'WS H-p2 Detail of Tax Amts'!E86</f>
        <v>0</v>
      </c>
      <c r="F38" s="590"/>
      <c r="G38" s="596"/>
      <c r="H38" s="596"/>
      <c r="I38" s="596"/>
      <c r="J38" s="596"/>
      <c r="K38" s="596">
        <f>+E38</f>
        <v>0</v>
      </c>
      <c r="L38" s="596"/>
      <c r="M38" s="596"/>
    </row>
    <row r="39" spans="1:13" ht="19.5">
      <c r="A39" s="575">
        <f t="shared" si="0"/>
        <v>20</v>
      </c>
      <c r="B39" s="576"/>
      <c r="C39" s="592" t="s">
        <v>125</v>
      </c>
      <c r="D39" s="576"/>
      <c r="E39" s="615">
        <f>+'WS H-p2 Detail of Tax Amts'!E89</f>
        <v>-77</v>
      </c>
      <c r="F39" s="611"/>
      <c r="G39" s="596"/>
      <c r="H39" s="596"/>
      <c r="I39" s="596"/>
      <c r="J39" s="596"/>
      <c r="K39" s="596"/>
      <c r="L39" s="596"/>
      <c r="M39" s="596">
        <f>+E39</f>
        <v>-77</v>
      </c>
    </row>
    <row r="40" spans="1:13" ht="19.5">
      <c r="A40" s="575">
        <f t="shared" si="0"/>
        <v>21</v>
      </c>
      <c r="B40" s="590"/>
      <c r="C40" s="592" t="s">
        <v>114</v>
      </c>
      <c r="D40" s="590"/>
      <c r="E40" s="615">
        <f>+'WS H-p2 Detail of Tax Amts'!E95</f>
        <v>0</v>
      </c>
      <c r="F40" s="590"/>
      <c r="G40" s="596"/>
      <c r="H40" s="596"/>
      <c r="I40" s="596"/>
      <c r="J40" s="596"/>
      <c r="K40" s="596"/>
      <c r="L40" s="596"/>
      <c r="M40" s="596">
        <f>+E40</f>
        <v>0</v>
      </c>
    </row>
    <row r="41" spans="1:13" ht="19.5">
      <c r="A41" s="575">
        <f t="shared" si="0"/>
        <v>22</v>
      </c>
      <c r="B41" s="590"/>
      <c r="C41" s="592" t="s">
        <v>408</v>
      </c>
      <c r="D41" s="611"/>
      <c r="E41" s="615">
        <v>0</v>
      </c>
      <c r="F41" s="611"/>
      <c r="G41" s="596"/>
      <c r="H41" s="596"/>
      <c r="I41" s="596"/>
      <c r="J41" s="596"/>
      <c r="K41" s="596"/>
      <c r="L41" s="596"/>
      <c r="M41" s="596">
        <f>+E41</f>
        <v>0</v>
      </c>
    </row>
    <row r="42" spans="1:13" ht="19.5">
      <c r="A42" s="313"/>
      <c r="B42" s="209"/>
      <c r="C42" s="592"/>
      <c r="D42" s="173"/>
      <c r="E42" s="173"/>
      <c r="F42" s="590"/>
      <c r="H42" s="616"/>
      <c r="I42" s="617"/>
      <c r="J42" s="617"/>
      <c r="K42" s="603"/>
      <c r="L42" s="618"/>
      <c r="M42" s="618"/>
    </row>
    <row r="43" spans="1:13" ht="20.25" thickBot="1">
      <c r="A43" s="619">
        <f>+A41+1</f>
        <v>23</v>
      </c>
      <c r="B43" s="209"/>
      <c r="C43" s="592" t="s">
        <v>118</v>
      </c>
      <c r="D43" s="173"/>
      <c r="E43" s="620">
        <f>SUM(E17:E41)</f>
        <v>28808942</v>
      </c>
      <c r="F43" s="590"/>
      <c r="G43" s="620">
        <f>SUM(G17:G41)</f>
        <v>28809015</v>
      </c>
      <c r="H43" s="616"/>
      <c r="I43" s="620">
        <f>SUM(I17:I41)</f>
        <v>0</v>
      </c>
      <c r="J43" s="617"/>
      <c r="K43" s="620">
        <f>SUM(K17:K41)</f>
        <v>0</v>
      </c>
      <c r="L43" s="618"/>
      <c r="M43" s="620">
        <f>SUM(M17:M41)</f>
        <v>-73</v>
      </c>
    </row>
    <row r="44" spans="1:13" ht="20.25" thickTop="1">
      <c r="A44" s="313"/>
      <c r="B44" s="209"/>
      <c r="C44" s="592" t="s">
        <v>183</v>
      </c>
      <c r="D44" s="173"/>
      <c r="E44" s="173"/>
      <c r="F44" s="590"/>
      <c r="G44" s="616"/>
      <c r="H44" s="616"/>
      <c r="I44" s="617"/>
      <c r="J44" s="204"/>
      <c r="K44" s="618"/>
      <c r="L44" s="618"/>
      <c r="M44" s="618"/>
    </row>
    <row r="45" spans="1:13" ht="19.5">
      <c r="A45" s="313"/>
      <c r="B45" s="209"/>
      <c r="C45" s="592" t="s">
        <v>7</v>
      </c>
      <c r="D45" s="173"/>
      <c r="E45" s="173"/>
      <c r="F45" s="590"/>
      <c r="G45" s="616"/>
      <c r="H45" s="616"/>
      <c r="I45" s="617"/>
      <c r="J45" s="204"/>
      <c r="K45" s="618"/>
      <c r="L45" s="618"/>
      <c r="M45" s="618"/>
    </row>
    <row r="46" spans="1:13" ht="19.5">
      <c r="A46" s="313"/>
      <c r="B46" s="209"/>
      <c r="C46" s="1547" t="s">
        <v>252</v>
      </c>
      <c r="D46" s="1547"/>
      <c r="E46" s="1547"/>
      <c r="F46" s="1547"/>
      <c r="G46" s="1547"/>
      <c r="H46" s="1547"/>
      <c r="I46" s="1547"/>
      <c r="J46" s="1547"/>
      <c r="K46" s="1547"/>
      <c r="L46" s="1547"/>
      <c r="M46" s="1547"/>
    </row>
    <row r="47" spans="1:13" ht="78">
      <c r="A47" s="575"/>
      <c r="C47" s="590"/>
      <c r="D47" s="590"/>
      <c r="E47" s="621" t="s">
        <v>323</v>
      </c>
      <c r="G47" s="622" t="s">
        <v>417</v>
      </c>
      <c r="H47" s="622"/>
      <c r="I47" s="621" t="s">
        <v>324</v>
      </c>
      <c r="J47" s="622"/>
      <c r="K47" s="622" t="s">
        <v>138</v>
      </c>
      <c r="L47" s="622"/>
      <c r="M47" s="622" t="s">
        <v>420</v>
      </c>
    </row>
    <row r="48" spans="1:13" ht="19.5">
      <c r="A48" s="623">
        <f>+A43+1</f>
        <v>24</v>
      </c>
      <c r="B48" s="624"/>
      <c r="C48" s="625" t="str">
        <f>"Functionalized Net Plant (TCOS, Lns "&amp;TCOS!B79&amp;" thru "&amp;TCOS!B82&amp;")"</f>
        <v>Functionalized Net Plant (TCOS, Lns 33 thru 36)</v>
      </c>
      <c r="D48" s="611"/>
      <c r="E48" s="626">
        <v>0</v>
      </c>
      <c r="F48" s="625"/>
      <c r="G48" s="626">
        <f>+TCOS!G79</f>
        <v>2660622534.4276924</v>
      </c>
      <c r="H48" s="625"/>
      <c r="I48" s="626">
        <v>0</v>
      </c>
      <c r="J48" s="625"/>
      <c r="K48" s="627">
        <f>+TCOS!G80</f>
        <v>52882431.949230768</v>
      </c>
      <c r="L48" s="611"/>
      <c r="M48" s="628">
        <f>SUM(E48:K48)</f>
        <v>2713504966.3769231</v>
      </c>
    </row>
    <row r="49" spans="1:21" ht="19.5">
      <c r="A49" s="623"/>
      <c r="B49" s="624"/>
      <c r="C49" s="582" t="s">
        <v>810</v>
      </c>
      <c r="D49" s="611"/>
      <c r="E49" s="628"/>
      <c r="F49" s="611"/>
      <c r="G49" s="629"/>
      <c r="H49" s="611"/>
      <c r="I49" s="628"/>
      <c r="J49" s="611"/>
      <c r="K49" s="630"/>
      <c r="L49" s="611"/>
      <c r="M49" s="631"/>
    </row>
    <row r="50" spans="1:21" ht="19.5">
      <c r="A50" s="623">
        <f>+A48+1</f>
        <v>25</v>
      </c>
      <c r="B50" s="624"/>
      <c r="C50" s="611" t="str">
        <f>"Percentage of Plant in "&amp;C49&amp;""</f>
        <v>Percentage of Plant in MICHIGAN JURISDICTION</v>
      </c>
      <c r="D50" s="611"/>
      <c r="E50" s="646"/>
      <c r="F50" s="632"/>
      <c r="G50" s="646"/>
      <c r="H50" s="632"/>
      <c r="I50" s="646"/>
      <c r="J50" s="632"/>
      <c r="K50" s="646"/>
      <c r="L50" s="611"/>
      <c r="M50" s="631"/>
    </row>
    <row r="51" spans="1:21" ht="19.5">
      <c r="A51" s="623">
        <f t="shared" ref="A51:A58" si="1">+A50+1</f>
        <v>26</v>
      </c>
      <c r="B51" s="624"/>
      <c r="C51" s="625" t="str">
        <f>"Net Plant in "&amp;C49&amp;" (Ln "&amp;A48&amp;" * Ln "&amp;A50&amp;")"</f>
        <v>Net Plant in MICHIGAN JURISDICTION (Ln 24 * Ln 25)</v>
      </c>
      <c r="D51" s="611"/>
      <c r="E51" s="628">
        <f>+E48*E50</f>
        <v>0</v>
      </c>
      <c r="F51" s="611"/>
      <c r="G51" s="628">
        <f>+G48*G50</f>
        <v>0</v>
      </c>
      <c r="H51" s="611"/>
      <c r="I51" s="628">
        <f>+I48*I50</f>
        <v>0</v>
      </c>
      <c r="J51" s="611"/>
      <c r="K51" s="628">
        <f>+K48*K50</f>
        <v>0</v>
      </c>
      <c r="L51" s="611"/>
      <c r="M51" s="628">
        <f>SUM(E51:K51)</f>
        <v>0</v>
      </c>
      <c r="O51" s="173"/>
    </row>
    <row r="52" spans="1:21" ht="19.5">
      <c r="A52" s="623">
        <f t="shared" si="1"/>
        <v>27</v>
      </c>
      <c r="B52" s="624"/>
      <c r="C52" s="625" t="s">
        <v>551</v>
      </c>
      <c r="D52" s="611"/>
      <c r="E52" s="646"/>
      <c r="F52" s="611"/>
      <c r="G52" s="633"/>
      <c r="H52" s="611"/>
      <c r="I52" s="633"/>
      <c r="J52" s="611"/>
      <c r="K52" s="634"/>
      <c r="L52" s="611"/>
      <c r="M52" s="628"/>
      <c r="O52" s="173"/>
    </row>
    <row r="53" spans="1:21" ht="19.5">
      <c r="A53" s="623">
        <f t="shared" si="1"/>
        <v>28</v>
      </c>
      <c r="B53" s="624"/>
      <c r="C53" s="611" t="str">
        <f>"Taxable Property Basis (Ln "&amp;A51&amp;" - Ln "&amp;A52&amp;")"</f>
        <v>Taxable Property Basis (Ln 26 - Ln 27)</v>
      </c>
      <c r="D53" s="611"/>
      <c r="E53" s="628">
        <f>+E51-E52</f>
        <v>0</v>
      </c>
      <c r="F53" s="611"/>
      <c r="G53" s="628">
        <f>+G51-G52</f>
        <v>0</v>
      </c>
      <c r="H53" s="611"/>
      <c r="I53" s="628">
        <f>+I51-I52</f>
        <v>0</v>
      </c>
      <c r="J53" s="611"/>
      <c r="K53" s="628">
        <f>+K51-K52</f>
        <v>0</v>
      </c>
      <c r="L53" s="611"/>
      <c r="M53" s="628">
        <f>SUM(E53:K53)</f>
        <v>0</v>
      </c>
      <c r="O53" s="173"/>
    </row>
    <row r="54" spans="1:21" ht="19.5">
      <c r="A54" s="623">
        <f t="shared" si="1"/>
        <v>29</v>
      </c>
      <c r="B54" s="624"/>
      <c r="C54" s="615" t="s">
        <v>250</v>
      </c>
      <c r="D54" s="611"/>
      <c r="E54" s="646"/>
      <c r="F54" s="632"/>
      <c r="G54" s="646"/>
      <c r="H54" s="632"/>
      <c r="I54" s="646"/>
      <c r="J54" s="632"/>
      <c r="K54" s="646"/>
      <c r="L54" s="611"/>
      <c r="M54" s="628">
        <f>SUM(E54:K54)</f>
        <v>0</v>
      </c>
      <c r="O54" s="173"/>
    </row>
    <row r="55" spans="1:21" ht="19.5">
      <c r="A55" s="623">
        <f t="shared" si="1"/>
        <v>30</v>
      </c>
      <c r="B55" s="624"/>
      <c r="C55" s="625" t="str">
        <f>"Weighted Net Plant (Ln "&amp;A53&amp;" * Ln "&amp;A54&amp;")"</f>
        <v>Weighted Net Plant (Ln 28 * Ln 29)</v>
      </c>
      <c r="D55" s="611"/>
      <c r="E55" s="628">
        <f>+E53*E54</f>
        <v>0</v>
      </c>
      <c r="F55" s="611"/>
      <c r="G55" s="628">
        <f>+G53*G54</f>
        <v>0</v>
      </c>
      <c r="H55" s="611"/>
      <c r="I55" s="628">
        <f>+I53*I54</f>
        <v>0</v>
      </c>
      <c r="J55" s="611"/>
      <c r="K55" s="628">
        <f>+K53*K54</f>
        <v>0</v>
      </c>
      <c r="L55" s="611"/>
      <c r="M55" s="628"/>
      <c r="O55" s="173"/>
      <c r="P55" s="173"/>
      <c r="Q55" s="173"/>
      <c r="R55" s="173"/>
      <c r="S55" s="173"/>
      <c r="T55" s="173"/>
      <c r="U55" s="173"/>
    </row>
    <row r="56" spans="1:21" ht="19.5">
      <c r="A56" s="623">
        <f t="shared" si="1"/>
        <v>31</v>
      </c>
      <c r="B56" s="624"/>
      <c r="C56" s="611" t="str">
        <f>+"General Plant Allocator (Ln "&amp;A55&amp;" / (Total - General Plant))"</f>
        <v>General Plant Allocator (Ln 30 / (Total - General Plant))</v>
      </c>
      <c r="D56" s="611"/>
      <c r="E56" s="635">
        <f>IF(E54=0,0,+E55/($E55+$G55+$I55))</f>
        <v>0</v>
      </c>
      <c r="F56" s="611"/>
      <c r="G56" s="635">
        <v>1</v>
      </c>
      <c r="H56" s="611"/>
      <c r="I56" s="635">
        <f>IF(I54=0,0,+I55/($E55+$G55+$I55))</f>
        <v>0</v>
      </c>
      <c r="J56" s="611"/>
      <c r="K56" s="635">
        <v>-1</v>
      </c>
      <c r="L56" s="611"/>
      <c r="M56" s="611"/>
      <c r="O56" s="173"/>
      <c r="P56" s="173"/>
      <c r="Q56" s="173"/>
      <c r="R56" s="173"/>
      <c r="S56" s="173"/>
      <c r="T56" s="173"/>
      <c r="U56" s="173"/>
    </row>
    <row r="57" spans="1:21" ht="19.5">
      <c r="A57" s="623">
        <f t="shared" si="1"/>
        <v>32</v>
      </c>
      <c r="B57" s="624"/>
      <c r="C57" s="611" t="str">
        <f>"Functionalized General Plant (Ln "&amp;A56&amp;" * General Plant)"</f>
        <v>Functionalized General Plant (Ln 31 * General Plant)</v>
      </c>
      <c r="D57" s="611"/>
      <c r="E57" s="636">
        <f>ROUND($K55*E56,0)</f>
        <v>0</v>
      </c>
      <c r="F57" s="611"/>
      <c r="G57" s="636">
        <f>+G56*K55</f>
        <v>0</v>
      </c>
      <c r="H57" s="611"/>
      <c r="I57" s="636">
        <f>ROUND($K55*I56,0)</f>
        <v>0</v>
      </c>
      <c r="J57" s="611"/>
      <c r="K57" s="636">
        <f>ROUND($K55*K56,0)</f>
        <v>0</v>
      </c>
      <c r="L57" s="611"/>
      <c r="M57" s="628">
        <f>IF(SUM(E57:K57)&lt;&gt;0,0,0)</f>
        <v>0</v>
      </c>
      <c r="O57" s="173"/>
      <c r="P57" s="173"/>
      <c r="Q57" s="173"/>
      <c r="R57" s="173"/>
      <c r="S57" s="173"/>
      <c r="T57" s="173"/>
      <c r="U57" s="173"/>
    </row>
    <row r="58" spans="1:21" ht="19.5">
      <c r="A58" s="623">
        <f t="shared" si="1"/>
        <v>33</v>
      </c>
      <c r="B58" s="624"/>
      <c r="C58" s="611" t="str">
        <f>"Weighted "&amp;C49&amp;" Plant (Ln "&amp;A55&amp;" + "&amp;A57&amp;")"</f>
        <v>Weighted MICHIGAN JURISDICTION Plant (Ln 30 + 32)</v>
      </c>
      <c r="D58" s="611"/>
      <c r="E58" s="628">
        <f>+E55+E57</f>
        <v>0</v>
      </c>
      <c r="F58" s="611"/>
      <c r="G58" s="630">
        <f>+G55+G57</f>
        <v>0</v>
      </c>
      <c r="H58" s="611"/>
      <c r="I58" s="628">
        <f>+I55+I57</f>
        <v>0</v>
      </c>
      <c r="J58" s="611"/>
      <c r="K58" s="628">
        <f>+K55+K57</f>
        <v>0</v>
      </c>
      <c r="L58" s="611"/>
      <c r="M58" s="628">
        <f>SUM(E58:K58)-SUM(E57:K57)</f>
        <v>0</v>
      </c>
      <c r="O58" s="173"/>
    </row>
    <row r="59" spans="1:21" ht="19.5">
      <c r="A59" s="623">
        <f>+A58+1</f>
        <v>34</v>
      </c>
      <c r="B59" s="624"/>
      <c r="C59" s="611" t="str">
        <f>"Functional Percentage (Ln "&amp;A58&amp;"/Total Ln "&amp;A58&amp;")"</f>
        <v>Functional Percentage (Ln 33/Total Ln 33)</v>
      </c>
      <c r="D59" s="611"/>
      <c r="E59" s="629">
        <f>IF(E58=0,0,+E58/$M$58)</f>
        <v>0</v>
      </c>
      <c r="F59" s="611"/>
      <c r="G59" s="629">
        <v>1</v>
      </c>
      <c r="H59" s="611"/>
      <c r="I59" s="629">
        <f>IF(I58=0,0,+I58/$M$58)</f>
        <v>0</v>
      </c>
      <c r="J59" s="611"/>
      <c r="K59" s="173"/>
      <c r="L59" s="611"/>
      <c r="M59" s="628"/>
      <c r="O59" s="173"/>
    </row>
    <row r="60" spans="1:21" ht="19.5">
      <c r="A60" s="623"/>
      <c r="B60" s="624"/>
      <c r="C60" s="643" t="s">
        <v>811</v>
      </c>
      <c r="D60" s="611"/>
      <c r="E60" s="628"/>
      <c r="F60" s="611"/>
      <c r="G60" s="637"/>
      <c r="H60" s="611"/>
      <c r="I60" s="628"/>
      <c r="J60" s="611"/>
      <c r="K60" s="629"/>
      <c r="L60" s="611"/>
      <c r="M60" s="628"/>
      <c r="O60" s="173"/>
    </row>
    <row r="61" spans="1:21" ht="19.5">
      <c r="A61" s="623">
        <f>A59+1</f>
        <v>35</v>
      </c>
      <c r="B61" s="624"/>
      <c r="C61" s="644" t="str">
        <f>"Net Plant in "&amp;C60&amp;" (Ln "&amp;A48&amp;" - Ln "&amp;A51&amp;")"</f>
        <v>Net Plant in INDIANA JURISDICTION (Ln 24 - Ln 26)</v>
      </c>
      <c r="D61" s="611"/>
      <c r="E61" s="628">
        <f>+E48-E51</f>
        <v>0</v>
      </c>
      <c r="F61" s="611"/>
      <c r="G61" s="628">
        <f>+G48-G51</f>
        <v>2660622534.4276924</v>
      </c>
      <c r="H61" s="611"/>
      <c r="I61" s="628">
        <f>+I48-I51</f>
        <v>0</v>
      </c>
      <c r="J61" s="611"/>
      <c r="K61" s="628">
        <f>+K48-K51</f>
        <v>52882431.949230768</v>
      </c>
      <c r="L61" s="611"/>
      <c r="M61" s="628">
        <f>SUM(E61:K61)</f>
        <v>2713504966.3769231</v>
      </c>
      <c r="O61" s="173"/>
    </row>
    <row r="62" spans="1:21" ht="19.5">
      <c r="A62" s="623">
        <f t="shared" ref="A62:A68" si="2">+A61+1</f>
        <v>36</v>
      </c>
      <c r="B62" s="624"/>
      <c r="C62" s="625" t="s">
        <v>550</v>
      </c>
      <c r="D62" s="611"/>
      <c r="E62" s="646"/>
      <c r="F62" s="611"/>
      <c r="G62" s="633"/>
      <c r="H62" s="611"/>
      <c r="I62" s="633"/>
      <c r="J62" s="611"/>
      <c r="K62" s="634"/>
      <c r="L62" s="611"/>
      <c r="M62" s="628"/>
      <c r="O62" s="173"/>
    </row>
    <row r="63" spans="1:21" ht="19.5">
      <c r="A63" s="623">
        <f t="shared" si="2"/>
        <v>37</v>
      </c>
      <c r="B63" s="624"/>
      <c r="C63" s="611" t="s">
        <v>251</v>
      </c>
      <c r="D63" s="611"/>
      <c r="E63" s="628">
        <f>+E61-E62</f>
        <v>0</v>
      </c>
      <c r="F63" s="611"/>
      <c r="G63" s="628">
        <f>+G61-G62</f>
        <v>2660622534.4276924</v>
      </c>
      <c r="H63" s="611"/>
      <c r="I63" s="628">
        <f>+I61-I62</f>
        <v>0</v>
      </c>
      <c r="J63" s="611"/>
      <c r="K63" s="628">
        <f>+K61-K62</f>
        <v>52882431.949230768</v>
      </c>
      <c r="L63" s="611"/>
      <c r="M63" s="628">
        <f>SUM(E63:K63)</f>
        <v>2713504966.3769231</v>
      </c>
      <c r="O63" s="173"/>
    </row>
    <row r="64" spans="1:21" ht="19.5">
      <c r="A64" s="623">
        <f t="shared" si="2"/>
        <v>38</v>
      </c>
      <c r="B64" s="624"/>
      <c r="C64" s="615" t="s">
        <v>250</v>
      </c>
      <c r="D64" s="611"/>
      <c r="E64" s="646"/>
      <c r="F64" s="632"/>
      <c r="G64" s="646"/>
      <c r="H64" s="632"/>
      <c r="I64" s="646"/>
      <c r="J64" s="632"/>
      <c r="K64" s="646"/>
      <c r="L64" s="611"/>
      <c r="M64" s="628"/>
      <c r="O64" s="173"/>
    </row>
    <row r="65" spans="1:15" ht="19.5">
      <c r="A65" s="623">
        <f t="shared" si="2"/>
        <v>39</v>
      </c>
      <c r="B65" s="624"/>
      <c r="C65" s="611" t="str">
        <f>"Weighted Net Plant (Ln "&amp;A63&amp;" * Ln "&amp;A64&amp;")"</f>
        <v>Weighted Net Plant (Ln 37 * Ln 38)</v>
      </c>
      <c r="D65" s="611"/>
      <c r="E65" s="628">
        <f>+E63*E64</f>
        <v>0</v>
      </c>
      <c r="F65" s="611"/>
      <c r="G65" s="628">
        <f>+G63*G64</f>
        <v>0</v>
      </c>
      <c r="H65" s="611"/>
      <c r="I65" s="628">
        <f>+I63*I64</f>
        <v>0</v>
      </c>
      <c r="J65" s="611"/>
      <c r="K65" s="628">
        <f>+K63*K64</f>
        <v>0</v>
      </c>
      <c r="L65" s="611"/>
      <c r="M65" s="628"/>
      <c r="O65" s="173"/>
    </row>
    <row r="66" spans="1:15" ht="19.5">
      <c r="A66" s="623">
        <f t="shared" si="2"/>
        <v>40</v>
      </c>
      <c r="B66" s="624"/>
      <c r="C66" s="611" t="str">
        <f>+"General Plant Allocator (Ln "&amp;A65&amp;" / (Total - General Plant)"</f>
        <v>General Plant Allocator (Ln 39 / (Total - General Plant)</v>
      </c>
      <c r="D66" s="611"/>
      <c r="E66" s="635">
        <f>IF(E64=0,0,+E65/($E65+$G65+$I65))</f>
        <v>0</v>
      </c>
      <c r="F66" s="611"/>
      <c r="G66" s="635">
        <v>1</v>
      </c>
      <c r="H66" s="611"/>
      <c r="I66" s="635">
        <f>IF(I64=0,0,+I65/($E65+$G65+$I65))</f>
        <v>0</v>
      </c>
      <c r="J66" s="611"/>
      <c r="K66" s="635">
        <v>-1</v>
      </c>
      <c r="L66" s="611"/>
      <c r="M66" s="628"/>
      <c r="O66" s="173"/>
    </row>
    <row r="67" spans="1:15" ht="19.5">
      <c r="A67" s="623">
        <f t="shared" si="2"/>
        <v>41</v>
      </c>
      <c r="B67" s="624"/>
      <c r="C67" s="611" t="str">
        <f>"Functionalized General Plant (Ln "&amp;A67&amp;" * General Plant)"</f>
        <v>Functionalized General Plant (Ln 41 * General Plant)</v>
      </c>
      <c r="D67" s="611"/>
      <c r="E67" s="636">
        <f>ROUND($K65*E66,0)</f>
        <v>0</v>
      </c>
      <c r="F67" s="611"/>
      <c r="G67" s="636">
        <f>ROUND($K65*G66,0)</f>
        <v>0</v>
      </c>
      <c r="H67" s="611"/>
      <c r="I67" s="636">
        <f>ROUND($K65*I66,0)</f>
        <v>0</v>
      </c>
      <c r="J67" s="611"/>
      <c r="K67" s="636">
        <f>ROUND($K65*K66,0)</f>
        <v>0</v>
      </c>
      <c r="L67" s="611"/>
      <c r="M67" s="628"/>
      <c r="O67" s="173"/>
    </row>
    <row r="68" spans="1:15" ht="19.5">
      <c r="A68" s="623">
        <f t="shared" si="2"/>
        <v>42</v>
      </c>
      <c r="B68" s="624"/>
      <c r="C68" s="645" t="str">
        <f>"Weighted "&amp;C60&amp;" Plant (Ln "&amp;A65&amp;" + "&amp;A67&amp;")"</f>
        <v>Weighted INDIANA JURISDICTION Plant (Ln 39 + 41)</v>
      </c>
      <c r="D68" s="611"/>
      <c r="E68" s="628">
        <f>+E65+E67</f>
        <v>0</v>
      </c>
      <c r="F68" s="611"/>
      <c r="G68" s="630">
        <f>+G65+G67</f>
        <v>0</v>
      </c>
      <c r="H68" s="611"/>
      <c r="I68" s="628">
        <f>+I65+I67</f>
        <v>0</v>
      </c>
      <c r="J68" s="611"/>
      <c r="K68" s="628">
        <f>+K65+K67</f>
        <v>0</v>
      </c>
      <c r="L68" s="611"/>
      <c r="M68" s="628">
        <f>SUM(E68:K68)-SUM(E67:K67)</f>
        <v>0</v>
      </c>
      <c r="O68" s="173"/>
    </row>
    <row r="69" spans="1:15" ht="19.5">
      <c r="A69" s="623">
        <f>+A68+1</f>
        <v>43</v>
      </c>
      <c r="B69" s="624"/>
      <c r="C69" s="611" t="str">
        <f>"Functional Percentage (Ln "&amp;A68&amp;"/Total Ln "&amp;A68&amp;")"</f>
        <v>Functional Percentage (Ln 42/Total Ln 42)</v>
      </c>
      <c r="D69" s="611"/>
      <c r="E69" s="629">
        <f>IF(E68=0,0,+E68/$M$68)</f>
        <v>0</v>
      </c>
      <c r="F69" s="611"/>
      <c r="G69" s="629">
        <v>1</v>
      </c>
      <c r="H69" s="611"/>
      <c r="I69" s="629">
        <f>IF(I68=0,0,+I68/$M$68)</f>
        <v>0</v>
      </c>
      <c r="J69" s="173"/>
      <c r="K69" s="173"/>
      <c r="L69" s="611"/>
      <c r="M69" s="628"/>
      <c r="O69" s="173"/>
    </row>
    <row r="70" spans="1:15" ht="19.5">
      <c r="A70" s="623"/>
      <c r="B70" s="624"/>
      <c r="C70" s="611"/>
      <c r="D70" s="611"/>
      <c r="E70" s="615"/>
      <c r="F70" s="615"/>
      <c r="G70" s="615"/>
      <c r="H70" s="615"/>
      <c r="I70" s="615"/>
      <c r="J70" s="611"/>
      <c r="K70" s="638"/>
      <c r="L70" s="611"/>
      <c r="M70" s="615"/>
      <c r="O70" s="173"/>
    </row>
    <row r="71" spans="1:15" ht="19.5">
      <c r="A71" s="623"/>
      <c r="B71" s="624"/>
      <c r="D71" s="611"/>
      <c r="E71" s="638"/>
      <c r="F71" s="611"/>
      <c r="G71" s="638"/>
      <c r="H71" s="611"/>
      <c r="I71" s="638"/>
      <c r="J71" s="611"/>
      <c r="K71" s="638"/>
      <c r="L71" s="611"/>
      <c r="M71" s="615"/>
      <c r="O71" s="173"/>
    </row>
    <row r="72" spans="1:15" ht="12.75">
      <c r="O72" s="173"/>
    </row>
    <row r="73" spans="1:15" ht="12.75">
      <c r="O73" s="173"/>
    </row>
    <row r="74" spans="1:15" ht="12.75">
      <c r="G74" s="641"/>
      <c r="O74" s="173"/>
    </row>
    <row r="215" spans="7:7" ht="15.75" thickBot="1"/>
    <row r="216" spans="7:7" ht="20.25" thickBot="1">
      <c r="G216" s="642"/>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T123"/>
  <sheetViews>
    <sheetView view="pageBreakPreview" topLeftCell="A7" zoomScale="60" zoomScaleNormal="60" workbookViewId="0">
      <selection activeCell="E33" sqref="E33"/>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0" t="s">
        <v>416</v>
      </c>
    </row>
    <row r="2" spans="1:20" ht="15.75">
      <c r="A2" s="1000" t="s">
        <v>416</v>
      </c>
    </row>
    <row r="3" spans="1:20" ht="18.75" customHeight="1">
      <c r="A3" s="1510" t="str">
        <f>TCOS!$F$5</f>
        <v>AEPTCo subsidiaries in PJM</v>
      </c>
      <c r="B3" s="1510" t="str">
        <f>TCOS!$F$5</f>
        <v>AEPTCo subsidiaries in PJM</v>
      </c>
      <c r="C3" s="1510" t="str">
        <f>TCOS!$F$5</f>
        <v>AEPTCo subsidiaries in PJM</v>
      </c>
      <c r="D3" s="1510" t="str">
        <f>TCOS!$F$5</f>
        <v>AEPTCo subsidiaries in PJM</v>
      </c>
      <c r="E3" s="1510" t="str">
        <f>TCOS!$F$5</f>
        <v>AEPTCo subsidiaries in PJM</v>
      </c>
      <c r="F3" s="1550"/>
      <c r="G3" s="1550"/>
    </row>
    <row r="4" spans="1:20" ht="18.75" customHeight="1">
      <c r="A4" s="1510" t="str">
        <f>"Cost of Service Formula Rate Using Actual/Projected FF1 Balances"</f>
        <v>Cost of Service Formula Rate Using Actual/Projected FF1 Balances</v>
      </c>
      <c r="B4" s="1510"/>
      <c r="C4" s="1510"/>
      <c r="D4" s="1510"/>
      <c r="E4" s="1510"/>
      <c r="F4" s="1550"/>
      <c r="G4" s="1550"/>
      <c r="H4" s="1510"/>
      <c r="I4" s="1510"/>
      <c r="J4" s="1510"/>
      <c r="K4" s="1510"/>
      <c r="L4" s="1510"/>
      <c r="M4" s="1550"/>
    </row>
    <row r="5" spans="1:20" ht="18.75" customHeight="1">
      <c r="A5" s="1502" t="s">
        <v>256</v>
      </c>
      <c r="B5" s="1502"/>
      <c r="C5" s="1502"/>
      <c r="D5" s="1502"/>
      <c r="E5" s="1502"/>
      <c r="F5" s="1550"/>
      <c r="G5" s="1550"/>
    </row>
    <row r="6" spans="1:20" ht="18" customHeight="1">
      <c r="A6" s="1552" t="str">
        <f>+TCOS!F9</f>
        <v>AEP Indiana Michigan Transmission Company</v>
      </c>
      <c r="B6" s="1552"/>
      <c r="C6" s="1552"/>
      <c r="D6" s="1552"/>
      <c r="E6" s="1552"/>
      <c r="F6" s="1553"/>
      <c r="G6" s="1553"/>
      <c r="H6" s="133"/>
      <c r="I6" s="133"/>
      <c r="J6" s="133"/>
      <c r="K6" s="133"/>
      <c r="L6" s="133"/>
      <c r="M6" s="133"/>
    </row>
    <row r="7" spans="1:20" ht="18" customHeight="1">
      <c r="A7" s="81"/>
      <c r="B7" s="81"/>
      <c r="C7" s="81"/>
      <c r="D7" s="81"/>
      <c r="E7" s="81"/>
      <c r="F7" s="81"/>
    </row>
    <row r="8" spans="1:20" ht="19.5" customHeight="1">
      <c r="A8" s="61"/>
      <c r="B8" s="62"/>
      <c r="C8" s="19" t="s">
        <v>462</v>
      </c>
      <c r="E8" s="19" t="s">
        <v>463</v>
      </c>
      <c r="F8" s="116" t="s">
        <v>464</v>
      </c>
      <c r="G8" s="116" t="s">
        <v>465</v>
      </c>
    </row>
    <row r="9" spans="1:20" ht="18">
      <c r="A9" s="96"/>
      <c r="B9" s="97"/>
      <c r="C9" s="97"/>
      <c r="D9" s="97"/>
      <c r="E9"/>
      <c r="F9" s="7"/>
      <c r="G9" s="117"/>
      <c r="H9" s="21"/>
      <c r="I9" s="21"/>
      <c r="J9" s="21"/>
      <c r="K9" s="21"/>
      <c r="L9" s="21"/>
      <c r="M9" s="21"/>
      <c r="N9" s="21"/>
      <c r="O9" s="21"/>
      <c r="P9" s="21"/>
      <c r="Q9" s="21"/>
      <c r="R9" s="21"/>
      <c r="S9" s="21"/>
      <c r="T9" s="21"/>
    </row>
    <row r="10" spans="1:20" ht="18">
      <c r="A10" s="96" t="s">
        <v>469</v>
      </c>
      <c r="B10" s="97"/>
      <c r="C10" s="97"/>
      <c r="D10" s="97"/>
      <c r="E10" s="98" t="s">
        <v>420</v>
      </c>
      <c r="F10" s="118" t="s">
        <v>2</v>
      </c>
      <c r="G10" s="119"/>
    </row>
    <row r="11" spans="1:20" ht="18">
      <c r="A11" s="99" t="s">
        <v>419</v>
      </c>
      <c r="B11" s="120"/>
      <c r="C11" s="99" t="s">
        <v>270</v>
      </c>
      <c r="D11" s="120"/>
      <c r="E11" s="100" t="s">
        <v>483</v>
      </c>
      <c r="F11" s="99" t="s">
        <v>3</v>
      </c>
      <c r="G11" s="100" t="s">
        <v>4</v>
      </c>
    </row>
    <row r="12" spans="1:20" ht="18">
      <c r="A12" s="63"/>
      <c r="B12" s="62"/>
      <c r="C12" s="58"/>
      <c r="D12" s="58"/>
      <c r="E12" s="58"/>
      <c r="F12" s="118"/>
      <c r="G12" s="121"/>
    </row>
    <row r="13" spans="1:20" ht="19.5">
      <c r="A13" s="61">
        <v>1</v>
      </c>
      <c r="B13" s="62"/>
      <c r="C13" s="64" t="s">
        <v>128</v>
      </c>
      <c r="D13" s="62"/>
      <c r="E13" s="57"/>
      <c r="F13" s="60"/>
    </row>
    <row r="14" spans="1:20" ht="19.5">
      <c r="A14" s="61">
        <f>+A13+1</f>
        <v>2</v>
      </c>
      <c r="B14" s="62"/>
      <c r="C14" s="57" t="s">
        <v>113</v>
      </c>
      <c r="D14" s="62"/>
      <c r="E14" s="128">
        <f>SUM(F15:F21)</f>
        <v>4</v>
      </c>
      <c r="F14" s="70"/>
      <c r="G14" s="122"/>
    </row>
    <row r="15" spans="1:20" ht="19.5">
      <c r="A15" s="61"/>
      <c r="B15" s="62"/>
      <c r="C15" s="57"/>
      <c r="D15" s="1344">
        <v>2020</v>
      </c>
      <c r="E15" s="123"/>
      <c r="F15" s="647">
        <v>1</v>
      </c>
      <c r="G15" s="1010" t="s">
        <v>6</v>
      </c>
    </row>
    <row r="16" spans="1:20" ht="19.5">
      <c r="A16" s="61"/>
      <c r="B16" s="62"/>
      <c r="C16" s="57"/>
      <c r="D16" s="1344">
        <v>2021</v>
      </c>
      <c r="E16" s="123"/>
      <c r="F16" s="647">
        <v>3</v>
      </c>
      <c r="G16" s="1010" t="s">
        <v>959</v>
      </c>
    </row>
    <row r="17" spans="1:9" ht="19.5">
      <c r="A17" s="61"/>
      <c r="B17" s="62"/>
      <c r="C17" s="57"/>
      <c r="D17" s="62"/>
      <c r="E17" s="123"/>
      <c r="F17" s="1061"/>
      <c r="G17" s="124"/>
    </row>
    <row r="18" spans="1:9" ht="19.5">
      <c r="A18" s="1064"/>
      <c r="B18" s="1065"/>
      <c r="C18" s="1004"/>
      <c r="D18" s="1065"/>
      <c r="E18" s="1003"/>
      <c r="F18" s="1002"/>
      <c r="G18" s="1001"/>
      <c r="H18" s="1005"/>
      <c r="I18" s="1005"/>
    </row>
    <row r="19" spans="1:9" ht="18">
      <c r="A19" s="1249"/>
      <c r="B19" s="1250"/>
      <c r="C19" s="1252" t="s">
        <v>462</v>
      </c>
      <c r="D19" s="1252" t="s">
        <v>463</v>
      </c>
      <c r="E19" s="1253" t="s">
        <v>464</v>
      </c>
      <c r="F19" s="1253" t="s">
        <v>465</v>
      </c>
      <c r="G19" s="1253" t="s">
        <v>385</v>
      </c>
      <c r="H19" s="1254" t="s">
        <v>386</v>
      </c>
      <c r="I19" s="1253" t="s">
        <v>387</v>
      </c>
    </row>
    <row r="20" spans="1:9" ht="47.25">
      <c r="A20" s="1249"/>
      <c r="B20" s="1250"/>
      <c r="C20" s="1255" t="s">
        <v>698</v>
      </c>
      <c r="D20" s="1256" t="s">
        <v>694</v>
      </c>
      <c r="E20" s="1257" t="s">
        <v>695</v>
      </c>
      <c r="F20" s="1257" t="s">
        <v>696</v>
      </c>
      <c r="G20" s="1257" t="s">
        <v>4</v>
      </c>
      <c r="H20" s="1258" t="s">
        <v>697</v>
      </c>
      <c r="I20" s="1258" t="s">
        <v>699</v>
      </c>
    </row>
    <row r="21" spans="1:9" ht="19.5">
      <c r="A21" s="1249"/>
      <c r="B21" s="1250"/>
      <c r="C21" s="70"/>
      <c r="D21" s="1250"/>
      <c r="E21" s="128"/>
      <c r="F21" s="1008"/>
      <c r="G21" s="122"/>
      <c r="H21" s="122"/>
      <c r="I21" s="122"/>
    </row>
    <row r="22" spans="1:9" ht="58.5">
      <c r="A22" s="1249">
        <f>+A14+1</f>
        <v>3</v>
      </c>
      <c r="B22" s="1250"/>
      <c r="C22" s="1251" t="str">
        <f>"Real Estate and Personal Property Taxes Total
 (Ln "&amp;A23&amp;" + Ln "&amp;A30 &amp;" + Ln "&amp;A37&amp;" + Ln "&amp;A40&amp;")"</f>
        <v>Real Estate and Personal Property Taxes Total
 (Ln 4 + Ln 5 + Ln 6 + Ln 7)</v>
      </c>
      <c r="D22" s="1250"/>
      <c r="E22" s="1067">
        <f>E23+E30+E37+E40</f>
        <v>28809015</v>
      </c>
      <c r="F22" s="128"/>
      <c r="G22" s="70"/>
      <c r="H22" s="122"/>
      <c r="I22" s="1067">
        <f>I23+I30+I37+I40</f>
        <v>28809015</v>
      </c>
    </row>
    <row r="23" spans="1:9" ht="19.5">
      <c r="A23" s="61">
        <f>+A22+1</f>
        <v>4</v>
      </c>
      <c r="B23" s="62"/>
      <c r="C23" s="60" t="s">
        <v>812</v>
      </c>
      <c r="D23" s="60"/>
      <c r="E23" s="128">
        <f>SUM(F24:F29)</f>
        <v>11370391</v>
      </c>
      <c r="F23" s="123"/>
      <c r="G23" s="70"/>
      <c r="I23" s="128">
        <f>SUM(I24:I29)</f>
        <v>11370391</v>
      </c>
    </row>
    <row r="24" spans="1:9" ht="19.5">
      <c r="A24" s="61"/>
      <c r="B24" s="62"/>
      <c r="C24" s="60"/>
      <c r="D24" s="1344">
        <v>2020</v>
      </c>
      <c r="E24" s="128"/>
      <c r="F24" s="647">
        <v>11641700</v>
      </c>
      <c r="G24" s="1010" t="s">
        <v>975</v>
      </c>
      <c r="H24" s="1345">
        <v>1</v>
      </c>
      <c r="I24" s="1008">
        <f t="shared" ref="I24:I29" si="0">F24*H24</f>
        <v>11641700</v>
      </c>
    </row>
    <row r="25" spans="1:9" ht="19.5">
      <c r="A25" s="61"/>
      <c r="B25" s="62"/>
      <c r="C25" s="60"/>
      <c r="D25" s="1344">
        <v>2019</v>
      </c>
      <c r="E25" s="128"/>
      <c r="F25" s="647">
        <v>-271309</v>
      </c>
      <c r="G25" s="1010" t="s">
        <v>5</v>
      </c>
      <c r="H25" s="1345">
        <v>1</v>
      </c>
      <c r="I25" s="1008">
        <f t="shared" si="0"/>
        <v>-271309</v>
      </c>
    </row>
    <row r="26" spans="1:9" ht="19.5">
      <c r="A26" s="61"/>
      <c r="B26" s="62"/>
      <c r="C26" s="60"/>
      <c r="D26" s="1344"/>
      <c r="E26" s="128"/>
      <c r="F26" s="647"/>
      <c r="G26" s="1010"/>
      <c r="H26" s="1342"/>
      <c r="I26" s="1008">
        <f t="shared" si="0"/>
        <v>0</v>
      </c>
    </row>
    <row r="27" spans="1:9" ht="19.5">
      <c r="A27" s="61"/>
      <c r="B27" s="62"/>
      <c r="C27" s="60"/>
      <c r="D27" s="1344"/>
      <c r="E27" s="128"/>
      <c r="F27" s="647"/>
      <c r="G27" s="1010"/>
      <c r="H27" s="1342"/>
      <c r="I27" s="1008">
        <f t="shared" si="0"/>
        <v>0</v>
      </c>
    </row>
    <row r="28" spans="1:9" ht="19.5">
      <c r="A28" s="61"/>
      <c r="B28" s="62"/>
      <c r="C28" s="60"/>
      <c r="D28" s="1344"/>
      <c r="E28" s="128"/>
      <c r="F28" s="647"/>
      <c r="G28" s="1010"/>
      <c r="H28" s="1342"/>
      <c r="I28" s="1008">
        <f t="shared" si="0"/>
        <v>0</v>
      </c>
    </row>
    <row r="29" spans="1:9" ht="19.5">
      <c r="A29" s="61"/>
      <c r="B29" s="62"/>
      <c r="C29" s="60"/>
      <c r="D29" s="1344"/>
      <c r="E29" s="128"/>
      <c r="F29" s="647"/>
      <c r="G29" s="1010"/>
      <c r="H29" s="1342"/>
      <c r="I29" s="1008">
        <f t="shared" si="0"/>
        <v>0</v>
      </c>
    </row>
    <row r="30" spans="1:9" ht="19.5">
      <c r="A30" s="61">
        <f>+A23+1</f>
        <v>5</v>
      </c>
      <c r="B30" s="62"/>
      <c r="C30" s="60" t="s">
        <v>813</v>
      </c>
      <c r="D30" s="1344"/>
      <c r="E30" s="128">
        <f>SUM(F31:F36)</f>
        <v>17438624</v>
      </c>
      <c r="F30" s="80"/>
      <c r="G30" s="70"/>
      <c r="H30" s="1343"/>
      <c r="I30" s="1008">
        <f>SUM(I31:I36)</f>
        <v>17438624</v>
      </c>
    </row>
    <row r="31" spans="1:9" ht="19.5">
      <c r="A31" s="61"/>
      <c r="B31" s="62"/>
      <c r="C31" s="60"/>
      <c r="D31" s="1344">
        <v>2021</v>
      </c>
      <c r="E31" s="128"/>
      <c r="F31" s="1063">
        <v>17472100</v>
      </c>
      <c r="G31" s="1010" t="s">
        <v>974</v>
      </c>
      <c r="H31" s="1345">
        <v>1</v>
      </c>
      <c r="I31" s="1008">
        <f t="shared" ref="I31:I36" si="1">F31*H31</f>
        <v>17472100</v>
      </c>
    </row>
    <row r="32" spans="1:9" ht="19.5">
      <c r="A32" s="61"/>
      <c r="B32" s="62"/>
      <c r="C32" s="60"/>
      <c r="D32" s="1344">
        <v>2020</v>
      </c>
      <c r="E32" s="128"/>
      <c r="F32" s="1063">
        <v>-34758</v>
      </c>
      <c r="G32" s="1010" t="s">
        <v>980</v>
      </c>
      <c r="H32" s="1345">
        <v>1</v>
      </c>
      <c r="I32" s="1008">
        <f t="shared" si="1"/>
        <v>-34758</v>
      </c>
    </row>
    <row r="33" spans="1:9" ht="19.5">
      <c r="A33" s="61"/>
      <c r="B33" s="62"/>
      <c r="C33" s="60"/>
      <c r="D33" s="1344">
        <v>2019</v>
      </c>
      <c r="E33" s="128"/>
      <c r="F33" s="1063">
        <v>1282</v>
      </c>
      <c r="G33" s="1010" t="s">
        <v>981</v>
      </c>
      <c r="H33" s="1345">
        <v>1</v>
      </c>
      <c r="I33" s="1008">
        <f t="shared" si="1"/>
        <v>1282</v>
      </c>
    </row>
    <row r="34" spans="1:9" ht="19.5">
      <c r="A34" s="61"/>
      <c r="B34" s="62"/>
      <c r="C34" s="60"/>
      <c r="D34" s="60"/>
      <c r="E34" s="128"/>
      <c r="F34" s="1063"/>
      <c r="G34" s="1010"/>
      <c r="H34" s="1063"/>
      <c r="I34" s="1008">
        <f t="shared" si="1"/>
        <v>0</v>
      </c>
    </row>
    <row r="35" spans="1:9" ht="19.5">
      <c r="A35" s="61"/>
      <c r="B35" s="62"/>
      <c r="C35" s="60"/>
      <c r="D35" s="60"/>
      <c r="E35" s="128"/>
      <c r="F35" s="1063"/>
      <c r="G35" s="1010"/>
      <c r="H35" s="1063"/>
      <c r="I35" s="1008">
        <f t="shared" si="1"/>
        <v>0</v>
      </c>
    </row>
    <row r="36" spans="1:9" ht="19.5">
      <c r="A36" s="61"/>
      <c r="B36" s="62"/>
      <c r="C36" s="60"/>
      <c r="D36" s="60"/>
      <c r="E36" s="128"/>
      <c r="F36" s="1063"/>
      <c r="G36" s="1010"/>
      <c r="H36" s="1063"/>
      <c r="I36" s="1008">
        <f t="shared" si="1"/>
        <v>0</v>
      </c>
    </row>
    <row r="37" spans="1:9" ht="19.5">
      <c r="A37" s="61">
        <f>+A30+1</f>
        <v>6</v>
      </c>
      <c r="B37" s="62"/>
      <c r="C37" s="60" t="s">
        <v>619</v>
      </c>
      <c r="D37" s="60"/>
      <c r="E37" s="128">
        <f>+F38+F39</f>
        <v>0</v>
      </c>
      <c r="F37" s="70"/>
      <c r="I37" s="1062">
        <f>SUM(I38:I39)</f>
        <v>0</v>
      </c>
    </row>
    <row r="38" spans="1:9" ht="19.5">
      <c r="A38" s="61"/>
      <c r="B38" s="62"/>
      <c r="C38" s="60"/>
      <c r="D38" s="60"/>
      <c r="E38" s="128"/>
      <c r="F38" s="1063"/>
      <c r="G38" s="1010"/>
      <c r="H38" s="1009"/>
      <c r="I38" s="1008">
        <f>F38*H38</f>
        <v>0</v>
      </c>
    </row>
    <row r="39" spans="1:9" ht="19.5">
      <c r="A39" s="61"/>
      <c r="B39" s="62"/>
      <c r="C39" s="60"/>
      <c r="D39" s="60"/>
      <c r="E39" s="128"/>
      <c r="F39" s="1063"/>
      <c r="G39" s="1010"/>
      <c r="H39" s="1063"/>
      <c r="I39" s="1008">
        <f>F39*H39</f>
        <v>0</v>
      </c>
    </row>
    <row r="40" spans="1:9" ht="19.5">
      <c r="A40" s="61">
        <f>+A37+1</f>
        <v>7</v>
      </c>
      <c r="B40" s="62"/>
      <c r="C40" s="60" t="s">
        <v>253</v>
      </c>
      <c r="D40" s="105"/>
      <c r="E40" s="128">
        <f>+F41</f>
        <v>0</v>
      </c>
      <c r="F40" s="125"/>
      <c r="I40" s="1062">
        <f>SUM(I41)</f>
        <v>0</v>
      </c>
    </row>
    <row r="41" spans="1:9" ht="19.5">
      <c r="A41" s="61"/>
      <c r="B41" s="62"/>
      <c r="C41" s="60"/>
      <c r="D41" s="105"/>
      <c r="E41" s="128"/>
      <c r="F41" s="1063"/>
      <c r="G41" s="1010"/>
      <c r="H41" s="1063"/>
      <c r="I41" s="1008">
        <f>F41*H41</f>
        <v>0</v>
      </c>
    </row>
    <row r="42" spans="1:9" ht="19.5">
      <c r="A42" s="1064"/>
      <c r="B42" s="1065"/>
      <c r="C42" s="1066"/>
      <c r="D42" s="1007"/>
      <c r="E42" s="1067"/>
      <c r="F42" s="1006"/>
      <c r="G42" s="1005"/>
      <c r="H42" s="1005"/>
      <c r="I42" s="1005"/>
    </row>
    <row r="43" spans="1:9" ht="23.25" customHeight="1">
      <c r="A43" s="61"/>
      <c r="B43" s="62"/>
      <c r="C43" s="60"/>
      <c r="D43" s="105"/>
      <c r="E43" s="128"/>
      <c r="F43" s="125"/>
    </row>
    <row r="44" spans="1:9" ht="18">
      <c r="A44" s="61"/>
      <c r="B44" s="62"/>
      <c r="C44" s="19" t="s">
        <v>462</v>
      </c>
      <c r="E44" s="19" t="s">
        <v>463</v>
      </c>
      <c r="F44" s="116" t="s">
        <v>464</v>
      </c>
      <c r="G44" s="116" t="s">
        <v>465</v>
      </c>
    </row>
    <row r="45" spans="1:9" ht="18">
      <c r="A45" s="96"/>
      <c r="B45" s="97"/>
      <c r="C45" s="97"/>
      <c r="D45" s="97"/>
      <c r="E45"/>
      <c r="F45" s="7"/>
      <c r="G45" s="117"/>
    </row>
    <row r="46" spans="1:9" ht="18">
      <c r="A46" s="96" t="s">
        <v>469</v>
      </c>
      <c r="B46" s="97"/>
      <c r="C46" s="97"/>
      <c r="D46" s="97"/>
      <c r="E46" s="98" t="s">
        <v>420</v>
      </c>
      <c r="F46" s="118" t="s">
        <v>2</v>
      </c>
      <c r="G46" s="119"/>
    </row>
    <row r="47" spans="1:9" ht="18">
      <c r="A47" s="99" t="s">
        <v>419</v>
      </c>
      <c r="B47" s="120"/>
      <c r="C47" s="99" t="s">
        <v>270</v>
      </c>
      <c r="D47" s="120"/>
      <c r="E47" s="100" t="s">
        <v>483</v>
      </c>
      <c r="F47" s="99" t="s">
        <v>3</v>
      </c>
      <c r="G47" s="100" t="s">
        <v>4</v>
      </c>
    </row>
    <row r="48" spans="1:9" ht="19.5">
      <c r="A48" s="61"/>
      <c r="B48" s="62"/>
      <c r="C48" s="65"/>
      <c r="D48" s="62"/>
      <c r="E48" s="129"/>
    </row>
    <row r="49" spans="1:7" ht="19.5">
      <c r="A49" s="61">
        <f>+A40+1</f>
        <v>8</v>
      </c>
      <c r="B49" s="62"/>
      <c r="C49" s="64" t="s">
        <v>130</v>
      </c>
      <c r="D49" s="62"/>
      <c r="E49" s="129"/>
      <c r="F49" s="126"/>
      <c r="G49" s="70"/>
    </row>
    <row r="50" spans="1:7" ht="19.5">
      <c r="A50" s="61">
        <f>+A49+1</f>
        <v>9</v>
      </c>
      <c r="B50" s="62"/>
      <c r="C50" s="60" t="s">
        <v>126</v>
      </c>
      <c r="D50" s="62"/>
      <c r="E50" s="128">
        <f>+F51</f>
        <v>0</v>
      </c>
      <c r="F50" s="70"/>
      <c r="G50" s="70"/>
    </row>
    <row r="51" spans="1:7" ht="19.5">
      <c r="A51" s="61"/>
      <c r="B51" s="62"/>
      <c r="C51" s="60"/>
      <c r="D51" s="62"/>
      <c r="E51" s="128"/>
      <c r="F51" s="647"/>
      <c r="G51" s="124"/>
    </row>
    <row r="52" spans="1:7" ht="19.5">
      <c r="A52" s="61">
        <f>+A50+1</f>
        <v>10</v>
      </c>
      <c r="B52" s="62"/>
      <c r="C52" s="60" t="s">
        <v>119</v>
      </c>
      <c r="D52" s="62"/>
      <c r="E52" s="128">
        <f>+F53</f>
        <v>0</v>
      </c>
      <c r="F52" s="70"/>
      <c r="G52" s="70"/>
    </row>
    <row r="53" spans="1:7" ht="19.5">
      <c r="A53" s="61"/>
      <c r="B53" s="62"/>
      <c r="C53" s="60"/>
      <c r="D53" s="62"/>
      <c r="E53" s="128"/>
      <c r="F53" s="647"/>
      <c r="G53" s="124"/>
    </row>
    <row r="54" spans="1:7" ht="19.5">
      <c r="A54" s="61">
        <f>+A52+1</f>
        <v>11</v>
      </c>
      <c r="B54" s="62"/>
      <c r="C54" s="60" t="s">
        <v>120</v>
      </c>
      <c r="D54" s="62"/>
      <c r="E54" s="128">
        <f>+F55+F56+F57</f>
        <v>0</v>
      </c>
      <c r="F54" s="70"/>
      <c r="G54" s="70"/>
    </row>
    <row r="55" spans="1:7" ht="19.5">
      <c r="A55" s="61" t="s">
        <v>416</v>
      </c>
      <c r="B55" s="62"/>
      <c r="C55" s="57"/>
      <c r="D55" s="62"/>
      <c r="E55" s="129"/>
      <c r="F55" s="647"/>
      <c r="G55" s="124"/>
    </row>
    <row r="56" spans="1:7" ht="19.5">
      <c r="A56" s="61"/>
      <c r="B56" s="62"/>
      <c r="C56" s="57"/>
      <c r="D56" s="62"/>
      <c r="E56" s="129"/>
      <c r="F56" s="647"/>
      <c r="G56" s="124"/>
    </row>
    <row r="57" spans="1:7" ht="19.5">
      <c r="A57" s="61"/>
      <c r="B57" s="62"/>
      <c r="C57" s="57"/>
      <c r="D57" s="62"/>
      <c r="E57" s="129"/>
      <c r="F57" s="647"/>
      <c r="G57" s="124"/>
    </row>
    <row r="58" spans="1:7" ht="19.5">
      <c r="A58" s="61">
        <f>A54+1</f>
        <v>12</v>
      </c>
      <c r="B58" s="62"/>
      <c r="C58" s="135" t="s">
        <v>325</v>
      </c>
      <c r="D58" s="62"/>
      <c r="E58" s="134"/>
      <c r="F58" s="70"/>
      <c r="G58" s="70"/>
    </row>
    <row r="59" spans="1:7" ht="19.5">
      <c r="A59" s="61">
        <f>A58+1</f>
        <v>13</v>
      </c>
      <c r="B59" s="62"/>
      <c r="C59" s="70" t="s">
        <v>224</v>
      </c>
      <c r="D59" s="105"/>
      <c r="E59" s="128">
        <f>+F60</f>
        <v>0</v>
      </c>
      <c r="G59" s="70"/>
    </row>
    <row r="60" spans="1:7" ht="19.5">
      <c r="A60" s="61"/>
      <c r="B60" s="62"/>
      <c r="C60" s="57"/>
      <c r="D60" s="62"/>
      <c r="E60" s="129"/>
      <c r="F60" s="647"/>
      <c r="G60" s="70"/>
    </row>
    <row r="61" spans="1:7" ht="19.5">
      <c r="A61" s="67">
        <f>A59+1</f>
        <v>14</v>
      </c>
      <c r="B61" s="68"/>
      <c r="C61" s="64" t="s">
        <v>127</v>
      </c>
      <c r="D61" s="69"/>
      <c r="E61" s="129"/>
      <c r="F61" s="123"/>
      <c r="G61" s="70"/>
    </row>
    <row r="62" spans="1:7" ht="19.5">
      <c r="A62" s="67">
        <f>A61+1</f>
        <v>15</v>
      </c>
      <c r="B62" s="68"/>
      <c r="C62" s="57" t="s">
        <v>223</v>
      </c>
      <c r="D62" s="69"/>
      <c r="E62" s="128">
        <f>+F63+F64</f>
        <v>0</v>
      </c>
      <c r="F62" s="70"/>
      <c r="G62" s="70"/>
    </row>
    <row r="63" spans="1:7" ht="19.5">
      <c r="A63" s="67"/>
      <c r="B63" s="68"/>
      <c r="C63" s="57"/>
      <c r="D63" s="69"/>
      <c r="E63" s="128"/>
      <c r="F63" s="647"/>
      <c r="G63" s="124"/>
    </row>
    <row r="64" spans="1:7" ht="19.5">
      <c r="A64" s="67"/>
      <c r="B64" s="68"/>
      <c r="C64" s="57"/>
      <c r="D64" s="69"/>
      <c r="E64" s="128"/>
      <c r="F64" s="647"/>
      <c r="G64" s="124"/>
    </row>
    <row r="65" spans="1:7" ht="19.5">
      <c r="A65" s="61">
        <f>A62+1</f>
        <v>16</v>
      </c>
      <c r="B65" s="62"/>
      <c r="C65" s="57" t="s">
        <v>121</v>
      </c>
      <c r="D65" s="62"/>
      <c r="E65" s="80">
        <f>+F66+F67+F68</f>
        <v>0</v>
      </c>
      <c r="F65" s="70"/>
      <c r="G65" s="70"/>
    </row>
    <row r="66" spans="1:7" ht="19.5">
      <c r="A66" s="61"/>
      <c r="B66" s="62"/>
      <c r="C66" s="57"/>
      <c r="D66" s="62"/>
      <c r="E66" s="80"/>
      <c r="F66" s="647"/>
      <c r="G66" s="124"/>
    </row>
    <row r="67" spans="1:7" ht="19.5">
      <c r="A67" s="61"/>
      <c r="B67" s="62"/>
      <c r="C67" s="57"/>
      <c r="D67" s="62"/>
      <c r="E67" s="80"/>
      <c r="F67" s="647"/>
      <c r="G67" s="124"/>
    </row>
    <row r="68" spans="1:7" ht="19.5">
      <c r="A68" s="61"/>
      <c r="B68" s="62"/>
      <c r="C68" s="57"/>
      <c r="D68" s="62"/>
      <c r="E68" s="80"/>
      <c r="F68" s="647"/>
      <c r="G68" s="124"/>
    </row>
    <row r="69" spans="1:7" ht="19.5">
      <c r="A69" s="61">
        <f>+A65+1</f>
        <v>17</v>
      </c>
      <c r="B69" s="62"/>
      <c r="C69" s="57" t="s">
        <v>122</v>
      </c>
      <c r="D69"/>
      <c r="E69" s="80">
        <f>SUM(F70:F80)</f>
        <v>0</v>
      </c>
      <c r="F69" s="70"/>
      <c r="G69" s="70"/>
    </row>
    <row r="70" spans="1:7" ht="19.5">
      <c r="A70" s="61"/>
      <c r="B70" s="62"/>
      <c r="C70" s="57"/>
      <c r="D70"/>
      <c r="E70" s="80"/>
      <c r="F70" s="647"/>
      <c r="G70" s="124"/>
    </row>
    <row r="71" spans="1:7" ht="19.5">
      <c r="A71" s="61"/>
      <c r="B71" s="62"/>
      <c r="C71" s="57"/>
      <c r="D71"/>
      <c r="E71" s="80"/>
      <c r="F71" s="647"/>
      <c r="G71" s="124"/>
    </row>
    <row r="72" spans="1:7" ht="19.5">
      <c r="A72" s="61"/>
      <c r="B72" s="62"/>
      <c r="C72" s="57"/>
      <c r="D72"/>
      <c r="E72" s="80"/>
      <c r="F72" s="647"/>
      <c r="G72" s="124"/>
    </row>
    <row r="73" spans="1:7" ht="19.5">
      <c r="A73" s="61"/>
      <c r="B73" s="62"/>
      <c r="C73" s="57"/>
      <c r="D73"/>
      <c r="E73" s="80"/>
      <c r="F73" s="647"/>
      <c r="G73" s="124"/>
    </row>
    <row r="74" spans="1:7" ht="19.5">
      <c r="A74" s="61"/>
      <c r="B74" s="62"/>
      <c r="C74" s="57"/>
      <c r="D74"/>
      <c r="E74" s="80"/>
      <c r="F74" s="647"/>
      <c r="G74" s="124"/>
    </row>
    <row r="75" spans="1:7" ht="19.5">
      <c r="A75" s="61"/>
      <c r="B75" s="62"/>
      <c r="C75" s="57"/>
      <c r="D75"/>
      <c r="E75" s="80"/>
      <c r="F75" s="647"/>
      <c r="G75" s="124"/>
    </row>
    <row r="76" spans="1:7" ht="19.5">
      <c r="A76" s="61"/>
      <c r="B76" s="62"/>
      <c r="C76" s="57"/>
      <c r="D76"/>
      <c r="E76" s="80"/>
      <c r="F76" s="647"/>
      <c r="G76" s="124"/>
    </row>
    <row r="77" spans="1:7" ht="19.5">
      <c r="A77" s="61"/>
      <c r="B77" s="62"/>
      <c r="C77" s="57"/>
      <c r="D77"/>
      <c r="E77" s="80"/>
      <c r="F77" s="647"/>
      <c r="G77" s="124"/>
    </row>
    <row r="78" spans="1:7" ht="19.5">
      <c r="A78" s="61"/>
      <c r="B78" s="62"/>
      <c r="C78" s="57"/>
      <c r="D78"/>
      <c r="E78" s="80"/>
      <c r="F78" s="647"/>
      <c r="G78" s="124"/>
    </row>
    <row r="79" spans="1:7" ht="19.5">
      <c r="A79" s="61"/>
      <c r="B79" s="62"/>
      <c r="C79" s="57"/>
      <c r="D79"/>
      <c r="E79" s="80"/>
      <c r="F79" s="647"/>
      <c r="G79" s="124"/>
    </row>
    <row r="80" spans="1:7" ht="19.5">
      <c r="A80" s="61"/>
      <c r="B80" s="62"/>
      <c r="C80" s="57"/>
      <c r="D80"/>
      <c r="E80" s="80"/>
      <c r="F80" s="647"/>
      <c r="G80" s="124"/>
    </row>
    <row r="81" spans="1:7" ht="19.5">
      <c r="A81" s="61">
        <f>+A69+1</f>
        <v>18</v>
      </c>
      <c r="B81" s="62"/>
      <c r="C81" s="57" t="s">
        <v>123</v>
      </c>
      <c r="D81"/>
      <c r="E81" s="80">
        <f>SUM(F82:F85)</f>
        <v>0</v>
      </c>
      <c r="F81" s="70"/>
      <c r="G81" s="70"/>
    </row>
    <row r="82" spans="1:7" ht="19.5">
      <c r="A82" s="61"/>
      <c r="B82" s="62"/>
      <c r="C82" s="57"/>
      <c r="D82"/>
      <c r="E82" s="80"/>
      <c r="F82" s="647">
        <v>0</v>
      </c>
      <c r="G82" s="124"/>
    </row>
    <row r="83" spans="1:7" ht="19.5">
      <c r="A83" s="61"/>
      <c r="B83" s="62"/>
      <c r="C83" s="57"/>
      <c r="D83"/>
      <c r="E83" s="80"/>
      <c r="F83" s="647"/>
      <c r="G83" s="124"/>
    </row>
    <row r="84" spans="1:7" ht="19.5">
      <c r="A84" s="61"/>
      <c r="B84" s="62"/>
      <c r="C84" s="57"/>
      <c r="D84"/>
      <c r="E84" s="80"/>
      <c r="F84" s="647"/>
      <c r="G84" s="124"/>
    </row>
    <row r="85" spans="1:7" ht="19.5">
      <c r="A85" s="61"/>
      <c r="B85" s="62"/>
      <c r="C85" s="57"/>
      <c r="D85"/>
      <c r="E85" s="80"/>
      <c r="F85" s="647"/>
      <c r="G85" s="124"/>
    </row>
    <row r="86" spans="1:7" ht="19.5">
      <c r="A86" s="61">
        <f>+A81+1</f>
        <v>19</v>
      </c>
      <c r="B86" s="62"/>
      <c r="C86" s="57" t="s">
        <v>124</v>
      </c>
      <c r="D86" s="62"/>
      <c r="E86" s="80">
        <f>F87</f>
        <v>0</v>
      </c>
      <c r="F86" s="70"/>
      <c r="G86" s="70"/>
    </row>
    <row r="87" spans="1:7" ht="19.5">
      <c r="A87" s="61"/>
      <c r="B87" s="62"/>
      <c r="C87" s="57"/>
      <c r="D87" s="62"/>
      <c r="E87" s="80"/>
      <c r="F87" s="647"/>
      <c r="G87" s="124"/>
    </row>
    <row r="88" spans="1:7" ht="19.5">
      <c r="A88" s="61"/>
      <c r="B88" s="62"/>
      <c r="C88" s="57"/>
      <c r="D88" s="62"/>
      <c r="E88" s="80"/>
      <c r="F88" s="152"/>
      <c r="G88" s="70"/>
    </row>
    <row r="89" spans="1:7" ht="19.5">
      <c r="A89" s="61">
        <f>+A86+1</f>
        <v>20</v>
      </c>
      <c r="B89" s="62"/>
      <c r="C89" s="57" t="s">
        <v>125</v>
      </c>
      <c r="D89" s="62"/>
      <c r="E89" s="80">
        <f>SUM(F90:F94)</f>
        <v>-77</v>
      </c>
      <c r="F89" s="70"/>
      <c r="G89" s="124" t="s">
        <v>416</v>
      </c>
    </row>
    <row r="90" spans="1:7" ht="19.5">
      <c r="A90" s="61"/>
      <c r="B90" s="62"/>
      <c r="C90" s="57"/>
      <c r="D90" s="62"/>
      <c r="E90" s="80"/>
      <c r="F90" s="647">
        <v>-77</v>
      </c>
      <c r="G90" s="124" t="s">
        <v>982</v>
      </c>
    </row>
    <row r="91" spans="1:7" ht="19.5">
      <c r="A91" s="61"/>
      <c r="B91" s="62"/>
      <c r="C91" s="57"/>
      <c r="D91" s="62"/>
      <c r="E91" s="80"/>
      <c r="F91" s="647"/>
      <c r="G91" s="124"/>
    </row>
    <row r="92" spans="1:7" ht="19.5">
      <c r="A92" s="61"/>
      <c r="B92" s="62"/>
      <c r="C92" s="57"/>
      <c r="D92" s="62"/>
      <c r="E92" s="80"/>
      <c r="F92" s="647"/>
      <c r="G92" s="124"/>
    </row>
    <row r="93" spans="1:7" ht="19.5">
      <c r="A93" s="61"/>
      <c r="B93" s="62"/>
      <c r="C93" s="57"/>
      <c r="D93" s="62"/>
      <c r="E93" s="80"/>
      <c r="F93" s="647"/>
      <c r="G93" s="124"/>
    </row>
    <row r="94" spans="1:7" ht="19.5">
      <c r="A94" s="61"/>
      <c r="B94" s="62"/>
      <c r="C94" s="57"/>
      <c r="D94" s="62"/>
      <c r="E94" s="80"/>
      <c r="F94" s="647"/>
      <c r="G94" s="124"/>
    </row>
    <row r="95" spans="1:7" ht="19.5">
      <c r="A95" s="61">
        <f>+A89+1</f>
        <v>21</v>
      </c>
      <c r="B95" s="57"/>
      <c r="C95" s="57" t="s">
        <v>114</v>
      </c>
      <c r="D95" s="57"/>
      <c r="E95" s="80">
        <f>SUM(F96:F97)</f>
        <v>0</v>
      </c>
      <c r="F95" s="127"/>
      <c r="G95" s="124"/>
    </row>
    <row r="96" spans="1:7" ht="19.5">
      <c r="A96" s="61"/>
      <c r="B96" s="57"/>
      <c r="C96" s="57"/>
      <c r="D96" s="57"/>
      <c r="E96" s="122"/>
      <c r="F96" s="647"/>
      <c r="G96" s="124"/>
    </row>
    <row r="97" spans="1:7" ht="19.5">
      <c r="A97" s="61"/>
      <c r="B97" s="57"/>
      <c r="C97" s="57"/>
      <c r="D97" s="57"/>
      <c r="E97" s="122"/>
      <c r="F97" s="647"/>
      <c r="G97" s="124"/>
    </row>
    <row r="98" spans="1:7" ht="19.5">
      <c r="A98" s="61">
        <f>+A95+1</f>
        <v>22</v>
      </c>
      <c r="B98" s="57"/>
      <c r="C98" s="74" t="s">
        <v>408</v>
      </c>
      <c r="D98" s="70"/>
      <c r="E98" s="128">
        <f>+F99</f>
        <v>0</v>
      </c>
      <c r="G98" s="70"/>
    </row>
    <row r="99" spans="1:7" ht="19.5">
      <c r="A99" s="61"/>
      <c r="B99" s="57"/>
      <c r="C99" s="74"/>
      <c r="D99" s="70"/>
      <c r="E99" s="129"/>
      <c r="F99" s="647"/>
      <c r="G99" s="70"/>
    </row>
    <row r="100" spans="1:7" ht="19.5">
      <c r="A100" s="4"/>
      <c r="B100" s="115"/>
      <c r="C100" s="115"/>
      <c r="D100"/>
      <c r="E100"/>
      <c r="F100" s="127"/>
      <c r="G100" s="70"/>
    </row>
    <row r="101" spans="1:7" ht="20.25" thickBot="1">
      <c r="A101" s="112">
        <f>+A98+1</f>
        <v>23</v>
      </c>
      <c r="B101" s="115"/>
      <c r="C101" s="57" t="s">
        <v>118</v>
      </c>
      <c r="D101"/>
      <c r="E101" s="73">
        <f>E22+E14+E89+E81</f>
        <v>28808942</v>
      </c>
      <c r="F101" s="73">
        <f>SUM(F14:F99)</f>
        <v>28808942</v>
      </c>
      <c r="G101" s="70"/>
    </row>
    <row r="102" spans="1:7" ht="20.25" thickTop="1">
      <c r="A102" s="4"/>
      <c r="B102" s="115"/>
      <c r="C102" s="57" t="s">
        <v>183</v>
      </c>
      <c r="D102"/>
      <c r="E102"/>
      <c r="F102" s="70"/>
      <c r="G102" s="70"/>
    </row>
    <row r="103" spans="1:7" ht="19.5">
      <c r="A103" s="4"/>
      <c r="B103" s="115"/>
      <c r="C103" s="57"/>
      <c r="D103"/>
      <c r="E103"/>
      <c r="F103" s="80" t="s">
        <v>416</v>
      </c>
      <c r="G103" s="70"/>
    </row>
    <row r="104" spans="1:7" ht="21.75" customHeight="1">
      <c r="A104" s="1551" t="s">
        <v>772</v>
      </c>
      <c r="B104" s="1551"/>
      <c r="C104" s="1551"/>
      <c r="D104" s="1551"/>
      <c r="E104" s="1551"/>
      <c r="F104" s="1551"/>
      <c r="G104" s="1551"/>
    </row>
    <row r="105" spans="1:7" ht="21.75" customHeight="1">
      <c r="A105" s="1551"/>
      <c r="B105" s="1551"/>
      <c r="C105" s="1551"/>
      <c r="D105" s="1551"/>
      <c r="E105" s="1551"/>
      <c r="F105" s="1551"/>
      <c r="G105" s="1551"/>
    </row>
    <row r="106" spans="1:7" ht="21.75" customHeight="1">
      <c r="A106" s="1551"/>
      <c r="B106" s="1551"/>
      <c r="C106" s="1551"/>
      <c r="D106" s="1551"/>
      <c r="E106" s="1551"/>
      <c r="F106" s="1551"/>
      <c r="G106" s="1551"/>
    </row>
    <row r="107" spans="1:7" ht="21.75" customHeight="1">
      <c r="A107" s="1551"/>
      <c r="B107" s="1551"/>
      <c r="C107" s="1551"/>
      <c r="D107" s="1551"/>
      <c r="E107" s="1551"/>
      <c r="F107" s="1551"/>
      <c r="G107" s="1551"/>
    </row>
    <row r="108" spans="1:7" ht="21.75" customHeight="1">
      <c r="A108" s="1551"/>
      <c r="B108" s="1551"/>
      <c r="C108" s="1551"/>
      <c r="D108" s="1551"/>
      <c r="E108" s="1551"/>
      <c r="F108" s="1551"/>
      <c r="G108" s="1551"/>
    </row>
    <row r="109" spans="1:7" ht="19.5">
      <c r="A109" s="1259"/>
      <c r="B109" s="79"/>
      <c r="C109" s="79"/>
      <c r="D109" s="79"/>
      <c r="E109" s="1260"/>
      <c r="F109" s="70"/>
      <c r="G109" s="70"/>
    </row>
    <row r="110" spans="1:7" ht="30" customHeight="1">
      <c r="A110" s="1549" t="s">
        <v>700</v>
      </c>
      <c r="B110" s="1549"/>
      <c r="C110" s="1549"/>
      <c r="D110" s="1549"/>
      <c r="E110" s="1549"/>
      <c r="F110" s="1549"/>
      <c r="G110" s="1549"/>
    </row>
    <row r="111" spans="1:7" ht="30" customHeight="1">
      <c r="A111" s="1549"/>
      <c r="B111" s="1549"/>
      <c r="C111" s="1549"/>
      <c r="D111" s="1549"/>
      <c r="E111" s="1549"/>
      <c r="F111" s="1549"/>
      <c r="G111" s="1549"/>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1" type="noConversion"/>
  <pageMargins left="0.82" right="1.28" top="0.67" bottom="0.56000000000000005" header="0.75" footer="0.28000000000000003"/>
  <pageSetup scale="31"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0" t="s">
        <v>416</v>
      </c>
    </row>
    <row r="2" spans="1:13" ht="15.75">
      <c r="A2" s="1000" t="s">
        <v>416</v>
      </c>
    </row>
    <row r="3" spans="1:13" ht="18">
      <c r="A3" s="1555" t="str">
        <f>TCOS!$F$5</f>
        <v>AEPTCo subsidiaries in PJM</v>
      </c>
      <c r="B3" s="1555" t="str">
        <f>TCOS!$F$5</f>
        <v>AEPTCo subsidiaries in PJM</v>
      </c>
      <c r="C3" s="1555" t="str">
        <f>TCOS!$F$5</f>
        <v>AEPTCo subsidiaries in PJM</v>
      </c>
      <c r="D3" s="1555" t="str">
        <f>TCOS!$F$5</f>
        <v>AEPTCo subsidiaries in PJM</v>
      </c>
      <c r="E3" s="1555" t="str">
        <f>TCOS!$F$5</f>
        <v>AEPTCo subsidiaries in PJM</v>
      </c>
      <c r="F3" s="1555" t="str">
        <f>TCOS!$F$5</f>
        <v>AEPTCo subsidiaries in PJM</v>
      </c>
      <c r="G3" s="1555" t="str">
        <f>TCOS!$F$5</f>
        <v>AEPTCo subsidiaries in PJM</v>
      </c>
      <c r="H3" s="1555" t="str">
        <f>TCOS!$F$5</f>
        <v>AEPTCo subsidiaries in PJM</v>
      </c>
      <c r="I3" s="1555" t="str">
        <f>TCOS!$F$5</f>
        <v>AEPTCo subsidiaries in PJM</v>
      </c>
      <c r="J3" s="1555" t="str">
        <f>TCOS!$F$5</f>
        <v>AEPTCo subsidiaries in PJM</v>
      </c>
      <c r="K3" s="77"/>
      <c r="L3" s="77"/>
      <c r="M3" s="77"/>
    </row>
    <row r="4" spans="1:13" ht="18">
      <c r="A4" s="1554" t="str">
        <f>"Cost of Service Formula Rate Using Actual/Projected FF1 Balances"</f>
        <v>Cost of Service Formula Rate Using Actual/Projected FF1 Balances</v>
      </c>
      <c r="B4" s="1554"/>
      <c r="C4" s="1554"/>
      <c r="D4" s="1554"/>
      <c r="E4" s="1554"/>
      <c r="F4" s="1554"/>
      <c r="G4" s="1554"/>
      <c r="H4" s="1554"/>
      <c r="I4" s="1554"/>
      <c r="J4" s="1554"/>
      <c r="K4" s="52"/>
      <c r="L4" s="52"/>
      <c r="M4" s="52"/>
    </row>
    <row r="5" spans="1:13" ht="18">
      <c r="A5" s="1554" t="s">
        <v>597</v>
      </c>
      <c r="B5" s="1554"/>
      <c r="C5" s="1554"/>
      <c r="D5" s="1554"/>
      <c r="E5" s="1554"/>
      <c r="F5" s="1554"/>
      <c r="G5" s="1554"/>
      <c r="H5" s="1554"/>
      <c r="I5" s="1554"/>
      <c r="J5" s="1554"/>
      <c r="K5" s="78"/>
      <c r="L5" s="78"/>
      <c r="M5" s="78"/>
    </row>
    <row r="6" spans="1:13" ht="18">
      <c r="A6" s="1546" t="str">
        <f>+TCOS!F9</f>
        <v>AEP Indiana Michigan Transmission Company</v>
      </c>
      <c r="B6" s="1546"/>
      <c r="C6" s="1546"/>
      <c r="D6" s="1546"/>
      <c r="E6" s="1546"/>
      <c r="F6" s="1546"/>
      <c r="G6" s="1546"/>
      <c r="H6" s="1546"/>
      <c r="I6" s="1546"/>
      <c r="J6" s="1546"/>
      <c r="K6" s="81"/>
      <c r="L6" s="81"/>
      <c r="M6" s="81"/>
    </row>
    <row r="7" spans="1:13">
      <c r="H7" s="82"/>
    </row>
    <row r="8" spans="1:13" ht="15.75">
      <c r="D8" s="150" t="s">
        <v>564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Q975"/>
  <sheetViews>
    <sheetView view="pageBreakPreview" topLeftCell="E10" zoomScale="70" zoomScaleNormal="70" zoomScaleSheetLayoutView="70" workbookViewId="0">
      <selection activeCell="Q82" sqref="Q82"/>
    </sheetView>
  </sheetViews>
  <sheetFormatPr defaultColWidth="8.85546875" defaultRowHeight="12.75"/>
  <cols>
    <col min="1" max="1" width="4.7109375" style="173" customWidth="1"/>
    <col min="2" max="2" width="6.7109375" style="389" customWidth="1"/>
    <col min="3" max="3" width="26.42578125" style="173" customWidth="1"/>
    <col min="4" max="4" width="17.7109375" style="272" customWidth="1"/>
    <col min="5" max="7" width="17.7109375" style="173" customWidth="1"/>
    <col min="8" max="8" width="17.7109375" style="484"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0" t="s">
        <v>416</v>
      </c>
    </row>
    <row r="2" spans="1:16" ht="15.75">
      <c r="A2" s="1000" t="s">
        <v>416</v>
      </c>
    </row>
    <row r="3" spans="1:16"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1501" t="str">
        <f>TCOS!$F$5</f>
        <v>AEPTCo subsidiaries in PJM</v>
      </c>
      <c r="N3" s="1501" t="str">
        <f>TCOS!$F$5</f>
        <v>AEPTCo subsidiaries in PJM</v>
      </c>
      <c r="O3" s="1501" t="str">
        <f>TCOS!$F$5</f>
        <v>AEPTCo subsidiaries in PJM</v>
      </c>
      <c r="P3" s="156"/>
    </row>
    <row r="4" spans="1:16"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c r="N4" s="1532"/>
      <c r="O4" s="1532"/>
      <c r="P4" s="156"/>
    </row>
    <row r="5" spans="1:16" ht="15">
      <c r="A5" s="1532" t="s">
        <v>266</v>
      </c>
      <c r="B5" s="1532"/>
      <c r="C5" s="1532"/>
      <c r="D5" s="1532"/>
      <c r="E5" s="1532"/>
      <c r="F5" s="1532"/>
      <c r="G5" s="1532"/>
      <c r="H5" s="1532"/>
      <c r="I5" s="1532"/>
      <c r="J5" s="1532"/>
      <c r="K5" s="1532"/>
      <c r="L5" s="1532"/>
      <c r="M5" s="1532"/>
      <c r="N5" s="1532"/>
      <c r="O5" s="1532"/>
      <c r="P5" s="156"/>
    </row>
    <row r="6" spans="1:16" ht="15">
      <c r="A6" s="1533" t="str">
        <f>TCOS!F9</f>
        <v>AEP Indiana Michigan Transmission Company</v>
      </c>
      <c r="B6" s="1533"/>
      <c r="C6" s="1533"/>
      <c r="D6" s="1533"/>
      <c r="E6" s="1533"/>
      <c r="F6" s="1533"/>
      <c r="G6" s="1533"/>
      <c r="H6" s="1533"/>
      <c r="I6" s="1533"/>
      <c r="J6" s="1533"/>
      <c r="K6" s="1533"/>
      <c r="L6" s="1533"/>
      <c r="M6" s="1533"/>
      <c r="N6" s="1533"/>
      <c r="O6" s="1533"/>
      <c r="P6" s="156"/>
    </row>
    <row r="7" spans="1:16">
      <c r="P7" s="156"/>
    </row>
    <row r="8" spans="1:16" ht="20.25">
      <c r="A8" s="648"/>
      <c r="C8" s="389"/>
      <c r="N8" s="649" t="str">
        <f>"Page "&amp;P8&amp;" of "</f>
        <v xml:space="preserve">Page 1 of </v>
      </c>
      <c r="O8" s="650">
        <f>COUNT(P$8:P$56656)</f>
        <v>11</v>
      </c>
      <c r="P8" s="651">
        <v>1</v>
      </c>
    </row>
    <row r="9" spans="1:16" ht="18">
      <c r="C9" s="652"/>
      <c r="P9" s="156"/>
    </row>
    <row r="10" spans="1:16">
      <c r="P10" s="156"/>
    </row>
    <row r="11" spans="1:16" ht="18">
      <c r="B11" s="653" t="s">
        <v>471</v>
      </c>
      <c r="C11" s="1559" t="str">
        <f>"Calculate Return and Income Taxes with "&amp;F17&amp;" basis point ROE increase for Projects Qualified for Regional Billing."</f>
        <v>Calculate Return and Income Taxes with 0 basis point ROE increase for Projects Qualified for Regional Billing.</v>
      </c>
      <c r="D11" s="1560"/>
      <c r="E11" s="1560"/>
      <c r="F11" s="1560"/>
      <c r="G11" s="1560"/>
      <c r="H11" s="1560"/>
      <c r="P11" s="156"/>
    </row>
    <row r="12" spans="1:16" ht="18.75" customHeight="1">
      <c r="C12" s="1560"/>
      <c r="D12" s="1560"/>
      <c r="E12" s="1560"/>
      <c r="F12" s="1560"/>
      <c r="G12" s="1560"/>
      <c r="H12" s="1560"/>
      <c r="P12" s="156"/>
    </row>
    <row r="13" spans="1:16" ht="15.75" customHeight="1">
      <c r="C13" s="654"/>
      <c r="D13" s="654"/>
      <c r="E13" s="654"/>
      <c r="F13" s="654"/>
      <c r="G13" s="654"/>
      <c r="H13" s="654"/>
      <c r="P13" s="156"/>
    </row>
    <row r="14" spans="1:16" ht="15.75">
      <c r="C14" s="655" t="str">
        <f>"A.   Determine 'R' with hypothetical "&amp;F17&amp;" basis point increase in ROE for Identified Projects"</f>
        <v>A.   Determine 'R' with hypothetical 0 basis point increase in ROE for Identified Projects</v>
      </c>
      <c r="P14" s="156"/>
    </row>
    <row r="15" spans="1:16">
      <c r="P15" s="156"/>
    </row>
    <row r="16" spans="1:16">
      <c r="C16" s="656" t="str">
        <f>"   ROE w/o incentives  (TCOS, ln "&amp;TCOS!B235&amp;")"</f>
        <v xml:space="preserve">   ROE w/o incentives  (TCOS, ln 138)</v>
      </c>
      <c r="E16" s="657"/>
      <c r="F16" s="658">
        <f>TCOS!J235</f>
        <v>0.10349999999999999</v>
      </c>
      <c r="G16" s="657"/>
      <c r="H16" s="659"/>
      <c r="I16" s="659"/>
      <c r="J16" s="660"/>
      <c r="K16" s="659"/>
      <c r="L16" s="659"/>
      <c r="M16" s="659"/>
      <c r="N16" s="659"/>
      <c r="O16" s="659"/>
      <c r="P16" s="660"/>
    </row>
    <row r="17" spans="3:16">
      <c r="C17" s="656" t="s">
        <v>52</v>
      </c>
      <c r="E17" s="657"/>
      <c r="F17" s="801">
        <v>0</v>
      </c>
      <c r="G17" s="661"/>
      <c r="H17" s="659"/>
      <c r="I17" s="659"/>
      <c r="J17" s="660"/>
    </row>
    <row r="18" spans="3:16">
      <c r="C18" s="656" t="str">
        <f>"   ROE with additional "&amp;F17&amp;" basis point incentive"</f>
        <v xml:space="preserve">   ROE with additional 0 basis point incentive</v>
      </c>
      <c r="D18" s="657"/>
      <c r="E18" s="657"/>
      <c r="F18" s="662">
        <f>IF((F16+(F17/10000)&gt;0.1274),"ERROR",F16+(F17/10000))</f>
        <v>0.10349999999999999</v>
      </c>
      <c r="G18" s="663"/>
      <c r="H18" s="659"/>
      <c r="I18" s="659"/>
      <c r="J18" s="660"/>
    </row>
    <row r="19" spans="3:16">
      <c r="C19" s="656"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57"/>
      <c r="F19" s="664"/>
      <c r="G19" s="657"/>
      <c r="H19" s="659"/>
      <c r="I19" s="659"/>
      <c r="J19" s="660"/>
    </row>
    <row r="20" spans="3:16">
      <c r="C20" s="660"/>
      <c r="D20" s="665" t="s">
        <v>446</v>
      </c>
      <c r="E20" s="665" t="s">
        <v>445</v>
      </c>
      <c r="F20" s="666" t="s">
        <v>53</v>
      </c>
      <c r="G20" s="657"/>
      <c r="H20" s="659"/>
      <c r="I20" s="659"/>
      <c r="J20" s="660"/>
    </row>
    <row r="21" spans="3:16" ht="13.5" thickBot="1">
      <c r="C21" s="667" t="s">
        <v>58</v>
      </c>
      <c r="D21" s="668">
        <f>TCOS!H233</f>
        <v>0.4436900595779355</v>
      </c>
      <c r="E21" s="669">
        <f>TCOS!J233</f>
        <v>3.7987732629711862E-2</v>
      </c>
      <c r="F21" s="670">
        <f>E21*D21</f>
        <v>1.6854779353707539E-2</v>
      </c>
      <c r="G21" s="657"/>
      <c r="H21" s="659"/>
      <c r="I21" s="671"/>
      <c r="J21" s="672"/>
      <c r="K21" s="436"/>
      <c r="L21" s="436"/>
      <c r="M21" s="436"/>
      <c r="N21" s="436"/>
      <c r="O21" s="436"/>
    </row>
    <row r="22" spans="3:16">
      <c r="C22" s="667" t="s">
        <v>59</v>
      </c>
      <c r="D22" s="668">
        <f>TCOS!H234</f>
        <v>0</v>
      </c>
      <c r="E22" s="669">
        <f>TCOS!J234</f>
        <v>0</v>
      </c>
      <c r="F22" s="670">
        <f>E22*D22</f>
        <v>0</v>
      </c>
      <c r="G22" s="673"/>
      <c r="H22" s="673"/>
      <c r="I22" s="674"/>
      <c r="J22" s="675"/>
      <c r="K22" s="1562" t="s">
        <v>241</v>
      </c>
      <c r="L22" s="1563"/>
      <c r="M22" s="1563"/>
      <c r="N22" s="1563"/>
      <c r="O22" s="1564"/>
      <c r="P22" s="675"/>
    </row>
    <row r="23" spans="3:16">
      <c r="C23" s="676" t="s">
        <v>31</v>
      </c>
      <c r="D23" s="668">
        <f>TCOS!H235</f>
        <v>0.55630994042206461</v>
      </c>
      <c r="E23" s="669">
        <f>+F18</f>
        <v>0.10349999999999999</v>
      </c>
      <c r="F23" s="677">
        <f>E23*D23</f>
        <v>5.7578078833683682E-2</v>
      </c>
      <c r="G23" s="673"/>
      <c r="H23" s="673"/>
      <c r="I23" s="674"/>
      <c r="J23" s="675"/>
      <c r="K23" s="1565"/>
      <c r="L23" s="1566"/>
      <c r="M23" s="1566"/>
      <c r="N23" s="1566"/>
      <c r="O23" s="1567"/>
      <c r="P23" s="675"/>
    </row>
    <row r="24" spans="3:16">
      <c r="C24" s="656"/>
      <c r="D24" s="173"/>
      <c r="E24" s="678" t="s">
        <v>60</v>
      </c>
      <c r="F24" s="670">
        <f>SUM(F21:F23)</f>
        <v>7.4432858187391218E-2</v>
      </c>
      <c r="G24" s="673"/>
      <c r="H24" s="673"/>
      <c r="I24" s="674"/>
      <c r="J24" s="675"/>
      <c r="K24" s="679"/>
      <c r="L24" s="680"/>
      <c r="M24" s="681" t="s">
        <v>54</v>
      </c>
      <c r="N24" s="681" t="s">
        <v>55</v>
      </c>
      <c r="O24" s="682" t="s">
        <v>57</v>
      </c>
      <c r="P24" s="675"/>
    </row>
    <row r="25" spans="3:16">
      <c r="C25" s="313"/>
      <c r="D25" s="683"/>
      <c r="E25" s="683"/>
      <c r="F25" s="673"/>
      <c r="G25" s="673"/>
      <c r="H25" s="673"/>
      <c r="I25" s="673"/>
      <c r="J25" s="684"/>
      <c r="K25" s="685"/>
      <c r="L25" s="686"/>
      <c r="M25" s="686"/>
      <c r="N25" s="686"/>
      <c r="O25" s="687"/>
      <c r="P25" s="684"/>
    </row>
    <row r="26" spans="3:16" ht="16.5" thickBot="1">
      <c r="C26" s="655" t="str">
        <f>"B.   Determine Return using 'R' with hypothetical "&amp;F17&amp;" basis point ROE increase for Identified Projects."</f>
        <v>B.   Determine Return using 'R' with hypothetical 0 basis point ROE increase for Identified Projects.</v>
      </c>
      <c r="D26" s="683"/>
      <c r="E26" s="683"/>
      <c r="F26" s="688"/>
      <c r="G26" s="673"/>
      <c r="H26" s="657"/>
      <c r="I26" s="673"/>
      <c r="J26" s="684"/>
      <c r="K26" s="689" t="s">
        <v>61</v>
      </c>
      <c r="L26" s="690">
        <f>+TCOS!L4</f>
        <v>2021</v>
      </c>
      <c r="M26" s="951">
        <f>N88+N178+N267+N356+N446+N535+N624+N713+N802+N893</f>
        <v>49927731.198320813</v>
      </c>
      <c r="N26" s="951">
        <f>N89+N179+N268+N357+N447+N536+N625+N714+N803+N894</f>
        <v>49927731.198320813</v>
      </c>
      <c r="O26" s="691">
        <f>+N26-M26</f>
        <v>0</v>
      </c>
      <c r="P26" s="684"/>
    </row>
    <row r="27" spans="3:16">
      <c r="C27" s="660"/>
      <c r="D27" s="683"/>
      <c r="E27" s="683"/>
      <c r="F27" s="684"/>
      <c r="G27" s="684"/>
      <c r="H27" s="684"/>
      <c r="I27" s="684"/>
      <c r="J27" s="684"/>
      <c r="K27" s="692"/>
      <c r="L27" s="692"/>
      <c r="M27" s="693"/>
      <c r="N27" s="692"/>
      <c r="O27" s="692"/>
      <c r="P27" s="684"/>
    </row>
    <row r="28" spans="3:16">
      <c r="C28" s="656" t="str">
        <f>"   Rate Base  (TCOS, ln "&amp;TCOS!B112&amp;")"</f>
        <v xml:space="preserve">   Rate Base  (TCOS, ln 58)</v>
      </c>
      <c r="D28" s="657"/>
      <c r="F28" s="694">
        <f>TCOS!L112</f>
        <v>2520161799.104641</v>
      </c>
      <c r="G28" s="684"/>
      <c r="H28" s="684"/>
      <c r="I28" s="684"/>
      <c r="J28" s="684"/>
      <c r="K28" s="692"/>
      <c r="L28" s="692"/>
      <c r="M28" s="692"/>
      <c r="N28" s="692"/>
      <c r="O28" s="695"/>
      <c r="P28" s="684"/>
    </row>
    <row r="29" spans="3:16">
      <c r="C29" s="660" t="s">
        <v>286</v>
      </c>
      <c r="D29" s="696"/>
      <c r="F29" s="670">
        <f>F24</f>
        <v>7.4432858187391218E-2</v>
      </c>
      <c r="G29" s="684"/>
      <c r="H29" s="684"/>
      <c r="I29" s="684"/>
      <c r="J29" s="684"/>
      <c r="K29" s="684"/>
      <c r="L29" s="684"/>
      <c r="M29" s="684"/>
      <c r="N29" s="684"/>
      <c r="O29" s="684"/>
      <c r="P29" s="684"/>
    </row>
    <row r="30" spans="3:16">
      <c r="C30" s="697" t="s">
        <v>63</v>
      </c>
      <c r="D30" s="697"/>
      <c r="F30" s="674">
        <f>F28*F29</f>
        <v>187582845.80203646</v>
      </c>
      <c r="G30" s="684"/>
      <c r="H30" s="684"/>
      <c r="I30" s="675"/>
      <c r="J30" s="675"/>
      <c r="K30" s="675"/>
      <c r="L30" s="675"/>
      <c r="M30" s="675"/>
      <c r="N30" s="675"/>
      <c r="O30" s="684"/>
      <c r="P30" s="675"/>
    </row>
    <row r="31" spans="3:16">
      <c r="C31" s="698"/>
      <c r="D31" s="659"/>
      <c r="E31" s="659"/>
      <c r="F31" s="684"/>
      <c r="G31" s="684"/>
      <c r="H31" s="684"/>
      <c r="I31" s="675"/>
      <c r="J31" s="675"/>
      <c r="K31" s="675"/>
      <c r="L31" s="675"/>
      <c r="M31" s="675"/>
      <c r="N31" s="675"/>
      <c r="O31" s="684"/>
      <c r="P31" s="675"/>
    </row>
    <row r="32" spans="3:16" ht="15.75">
      <c r="C32" s="655" t="str">
        <f>"C.   Determine Income Taxes using Return with hypothetical "&amp;F17&amp;" basis point ROE increase for Identified Projects."</f>
        <v>C.   Determine Income Taxes using Return with hypothetical 0 basis point ROE increase for Identified Projects.</v>
      </c>
      <c r="D32" s="699"/>
      <c r="E32" s="699"/>
      <c r="F32" s="700"/>
      <c r="G32" s="700"/>
      <c r="H32" s="700"/>
      <c r="I32" s="701"/>
      <c r="J32" s="701"/>
      <c r="K32" s="701"/>
      <c r="L32" s="701"/>
      <c r="M32" s="701"/>
      <c r="N32" s="701"/>
      <c r="O32" s="700"/>
      <c r="P32" s="701"/>
    </row>
    <row r="33" spans="2:16">
      <c r="C33" s="656"/>
      <c r="D33" s="659"/>
      <c r="E33" s="659"/>
      <c r="F33" s="684"/>
      <c r="G33" s="684"/>
      <c r="H33" s="684"/>
      <c r="I33" s="675"/>
      <c r="J33" s="675"/>
      <c r="K33" s="675"/>
      <c r="L33" s="675"/>
      <c r="M33" s="675"/>
      <c r="N33" s="675"/>
      <c r="O33" s="684"/>
      <c r="P33" s="675"/>
    </row>
    <row r="34" spans="2:16">
      <c r="C34" s="660" t="s">
        <v>64</v>
      </c>
      <c r="D34" s="678"/>
      <c r="F34" s="702">
        <f>F30</f>
        <v>187582845.80203646</v>
      </c>
      <c r="G34" s="684"/>
      <c r="H34" s="684"/>
      <c r="I34" s="684"/>
      <c r="J34" s="684"/>
      <c r="K34" s="684"/>
      <c r="L34" s="684"/>
      <c r="M34" s="684"/>
      <c r="N34" s="684"/>
      <c r="O34" s="684"/>
      <c r="P34" s="684"/>
    </row>
    <row r="35" spans="2:16">
      <c r="C35" s="656" t="str">
        <f>"   Effective Tax Rate  (TCOS, ln "&amp;TCOS!B170&amp;")"</f>
        <v xml:space="preserve">   Effective Tax Rate  (TCOS, ln 97)</v>
      </c>
      <c r="D35" s="534"/>
      <c r="F35" s="703">
        <f>TCOS!G170</f>
        <v>0.25739704901815735</v>
      </c>
      <c r="G35" s="313"/>
      <c r="H35" s="704"/>
      <c r="I35" s="313"/>
      <c r="J35" s="423"/>
      <c r="K35" s="313"/>
      <c r="L35" s="313"/>
      <c r="M35" s="313"/>
      <c r="N35" s="313"/>
      <c r="O35" s="313"/>
      <c r="P35" s="423"/>
    </row>
    <row r="36" spans="2:16">
      <c r="C36" s="698" t="s">
        <v>65</v>
      </c>
      <c r="D36" s="534"/>
      <c r="F36" s="705">
        <f>F34*F35</f>
        <v>48283270.95587223</v>
      </c>
      <c r="G36" s="313"/>
      <c r="H36" s="704"/>
      <c r="I36" s="313"/>
      <c r="J36" s="423"/>
      <c r="K36" s="313"/>
      <c r="L36" s="313"/>
      <c r="M36" s="313"/>
      <c r="N36" s="313"/>
      <c r="O36" s="313"/>
      <c r="P36" s="423"/>
    </row>
    <row r="37" spans="2:16" ht="15">
      <c r="C37" s="656" t="s">
        <v>107</v>
      </c>
      <c r="D37" s="324"/>
      <c r="F37" s="706">
        <f>TCOS!L178</f>
        <v>0</v>
      </c>
      <c r="G37" s="324"/>
      <c r="H37" s="324"/>
      <c r="I37" s="324"/>
      <c r="J37" s="324"/>
      <c r="K37" s="324"/>
      <c r="L37" s="324"/>
      <c r="M37" s="324"/>
      <c r="N37" s="324"/>
      <c r="O37" s="231"/>
      <c r="P37" s="324"/>
    </row>
    <row r="38" spans="2:16" ht="15">
      <c r="C38" s="656" t="s">
        <v>560</v>
      </c>
      <c r="D38" s="324"/>
      <c r="F38" s="706">
        <f>TCOS!L179</f>
        <v>1586953.8963130757</v>
      </c>
      <c r="G38" s="324"/>
      <c r="H38" s="324"/>
      <c r="I38" s="324"/>
      <c r="J38" s="324"/>
      <c r="K38" s="324"/>
      <c r="L38" s="324"/>
      <c r="M38" s="324"/>
      <c r="N38" s="324"/>
      <c r="O38" s="231"/>
      <c r="P38" s="324"/>
    </row>
    <row r="39" spans="2:16" ht="15.75" thickBot="1">
      <c r="C39" s="656" t="s">
        <v>562</v>
      </c>
      <c r="D39" s="324"/>
      <c r="F39" s="707">
        <f>TCOS!L180</f>
        <v>920905.71114013146</v>
      </c>
      <c r="G39" s="324"/>
      <c r="H39" s="324"/>
      <c r="I39" s="324"/>
      <c r="J39" s="324"/>
      <c r="K39" s="324"/>
      <c r="L39" s="324"/>
      <c r="M39" s="324"/>
      <c r="N39" s="324"/>
      <c r="O39" s="231"/>
      <c r="P39" s="324"/>
    </row>
    <row r="40" spans="2:16" ht="15">
      <c r="C40" s="698" t="s">
        <v>66</v>
      </c>
      <c r="D40" s="324"/>
      <c r="F40" s="706">
        <f>F36+F37+F38+F39</f>
        <v>50791130.563325442</v>
      </c>
      <c r="G40" s="954"/>
      <c r="H40" s="324"/>
      <c r="I40" s="324"/>
      <c r="J40" s="324"/>
      <c r="K40" s="324"/>
      <c r="L40" s="324"/>
      <c r="M40" s="324"/>
      <c r="N40" s="324"/>
      <c r="O40" s="189"/>
      <c r="P40" s="324"/>
    </row>
    <row r="41" spans="2:16" ht="12.75" customHeight="1">
      <c r="C41" s="240"/>
      <c r="D41" s="324"/>
      <c r="E41" s="324"/>
      <c r="F41" s="324"/>
      <c r="G41" s="324"/>
      <c r="H41" s="324"/>
      <c r="I41" s="324"/>
      <c r="J41" s="324"/>
      <c r="K41" s="324"/>
      <c r="L41" s="324"/>
      <c r="M41" s="324"/>
      <c r="N41" s="324"/>
      <c r="O41" s="189"/>
      <c r="P41" s="324"/>
    </row>
    <row r="42" spans="2:16" ht="18.75">
      <c r="B42" s="653" t="s">
        <v>472</v>
      </c>
      <c r="C42" s="652"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189"/>
      <c r="P42" s="324"/>
    </row>
    <row r="43" spans="2:16" ht="18.75" customHeight="1">
      <c r="C43" s="652" t="str">
        <f>"basis point ROE increase."</f>
        <v>basis point ROE increase.</v>
      </c>
      <c r="D43" s="324"/>
      <c r="E43" s="324"/>
      <c r="F43" s="324"/>
      <c r="G43" s="324"/>
      <c r="H43" s="324"/>
      <c r="I43" s="324"/>
      <c r="J43" s="324"/>
      <c r="K43" s="324"/>
      <c r="L43" s="324"/>
      <c r="M43" s="324"/>
      <c r="N43" s="324"/>
      <c r="O43" s="189"/>
      <c r="P43" s="324"/>
    </row>
    <row r="44" spans="2:16" ht="12.75" customHeight="1">
      <c r="C44" s="652"/>
      <c r="D44" s="324"/>
      <c r="E44" s="324"/>
      <c r="F44" s="324"/>
      <c r="G44" s="324"/>
      <c r="H44" s="324"/>
      <c r="I44" s="324"/>
      <c r="J44" s="324"/>
      <c r="K44" s="324"/>
      <c r="L44" s="324"/>
      <c r="M44" s="324"/>
      <c r="N44" s="324"/>
      <c r="O44" s="189"/>
      <c r="P44" s="324"/>
    </row>
    <row r="45" spans="2:16" ht="15.75">
      <c r="C45" s="655" t="s">
        <v>263</v>
      </c>
      <c r="D45" s="324"/>
      <c r="E45" s="324"/>
      <c r="F45" s="323"/>
      <c r="G45" s="324"/>
      <c r="H45" s="324"/>
      <c r="I45" s="324"/>
      <c r="J45" s="324"/>
      <c r="K45" s="324"/>
      <c r="L45" s="324"/>
      <c r="M45" s="324"/>
      <c r="N45" s="324"/>
      <c r="O45" s="189"/>
      <c r="P45" s="324"/>
    </row>
    <row r="46" spans="2:16">
      <c r="B46" s="346"/>
      <c r="C46" s="708"/>
      <c r="D46" s="709"/>
      <c r="E46" s="709"/>
      <c r="F46" s="709"/>
      <c r="G46" s="709"/>
      <c r="H46" s="709"/>
      <c r="I46" s="709"/>
      <c r="J46" s="709"/>
      <c r="K46" s="709"/>
      <c r="L46" s="709"/>
      <c r="M46" s="709"/>
      <c r="N46" s="709"/>
      <c r="O46" s="706"/>
      <c r="P46" s="709"/>
    </row>
    <row r="47" spans="2:16" ht="12.75" customHeight="1">
      <c r="B47" s="346"/>
      <c r="C47" s="656" t="str">
        <f>"   Annual Revenue Requirement  (TCOS, ln "&amp;TCOS!B13&amp;")"</f>
        <v xml:space="preserve">   Annual Revenue Requirement  (TCOS, ln 1)</v>
      </c>
      <c r="D47" s="709"/>
      <c r="E47" s="709"/>
      <c r="G47" s="706">
        <f>TCOS!L13</f>
        <v>378481541.94181567</v>
      </c>
      <c r="H47" s="955"/>
      <c r="I47" s="709"/>
      <c r="J47" s="709"/>
      <c r="K47" s="709"/>
      <c r="L47" s="709"/>
      <c r="M47" s="709"/>
      <c r="N47" s="709"/>
      <c r="O47" s="706"/>
      <c r="P47" s="709"/>
    </row>
    <row r="48" spans="2:16" ht="12.75" customHeight="1">
      <c r="B48" s="346"/>
      <c r="C48" s="708" t="str">
        <f>"   Lease Payments (TCOS, Ln "&amp;TCOS!B150&amp;")"</f>
        <v xml:space="preserve">   Lease Payments (TCOS, Ln 80)</v>
      </c>
      <c r="D48" s="709"/>
      <c r="E48" s="709"/>
      <c r="G48" s="706">
        <f>+TCOS!L150</f>
        <v>0</v>
      </c>
      <c r="H48" s="955"/>
      <c r="I48" s="709"/>
      <c r="J48" s="709"/>
      <c r="K48" s="709"/>
      <c r="L48" s="709"/>
      <c r="M48" s="709"/>
      <c r="N48" s="709"/>
      <c r="O48" s="706"/>
      <c r="P48" s="709"/>
    </row>
    <row r="49" spans="2:16">
      <c r="B49" s="346"/>
      <c r="C49" s="656" t="str">
        <f>"   Return  (TCOS, ln "&amp;TCOS!B183&amp;")"</f>
        <v xml:space="preserve">   Return  (TCOS, ln 109)</v>
      </c>
      <c r="D49" s="709"/>
      <c r="E49" s="709"/>
      <c r="G49" s="711">
        <f>TCOS!L183</f>
        <v>186541065.087632</v>
      </c>
      <c r="H49" s="956"/>
      <c r="I49" s="709"/>
      <c r="J49" s="712"/>
      <c r="K49" s="712"/>
      <c r="L49" s="712"/>
      <c r="M49" s="712"/>
      <c r="N49" s="712"/>
      <c r="O49" s="706"/>
      <c r="P49" s="712"/>
    </row>
    <row r="50" spans="2:16">
      <c r="B50" s="346"/>
      <c r="C50" s="656" t="str">
        <f>"   Income Taxes  (TCOS, ln "&amp;TCOS!B181&amp;")"</f>
        <v xml:space="preserve">   Income Taxes  (TCOS, ln 108)</v>
      </c>
      <c r="D50" s="709"/>
      <c r="E50" s="709"/>
      <c r="G50" s="713">
        <f>F40</f>
        <v>50791130.563325442</v>
      </c>
      <c r="H50" s="955"/>
      <c r="I50" s="709"/>
      <c r="J50" s="714"/>
      <c r="K50" s="714"/>
      <c r="L50" s="714"/>
      <c r="M50" s="714"/>
      <c r="N50" s="714"/>
      <c r="O50" s="709"/>
      <c r="P50" s="714"/>
    </row>
    <row r="51" spans="2:16">
      <c r="B51" s="346"/>
      <c r="C51" s="721" t="s">
        <v>617</v>
      </c>
      <c r="D51" s="709"/>
      <c r="E51" s="709"/>
      <c r="G51" s="711">
        <f>G47-G49-G50-G48</f>
        <v>141149346.29085824</v>
      </c>
      <c r="H51" s="711"/>
      <c r="I51" s="709"/>
      <c r="J51" s="715"/>
      <c r="K51" s="715"/>
      <c r="L51" s="715"/>
      <c r="M51" s="715"/>
      <c r="N51" s="715"/>
      <c r="O51" s="715"/>
      <c r="P51" s="715"/>
    </row>
    <row r="52" spans="2:16">
      <c r="B52" s="346"/>
      <c r="C52" s="708"/>
      <c r="D52" s="709"/>
      <c r="E52" s="709"/>
      <c r="F52" s="706"/>
      <c r="G52" s="716"/>
      <c r="H52" s="717"/>
      <c r="I52" s="709"/>
      <c r="J52" s="717"/>
      <c r="K52" s="717"/>
      <c r="L52" s="717"/>
      <c r="M52" s="717"/>
      <c r="N52" s="717"/>
      <c r="O52" s="717"/>
      <c r="P52" s="717"/>
    </row>
    <row r="53" spans="2:16" ht="15.75">
      <c r="B53" s="346"/>
      <c r="C53" s="655" t="str">
        <f>"B.   Determine Annual Revenue Requirement with hypothetical "&amp;F17&amp;" basis point increase in ROE."</f>
        <v>B.   Determine Annual Revenue Requirement with hypothetical 0 basis point increase in ROE.</v>
      </c>
      <c r="D53" s="718"/>
      <c r="E53" s="718"/>
      <c r="F53" s="706"/>
      <c r="G53" s="716"/>
      <c r="H53" s="717"/>
      <c r="I53" s="717"/>
      <c r="J53" s="717"/>
      <c r="K53" s="717"/>
      <c r="L53" s="717"/>
      <c r="M53" s="717"/>
      <c r="N53" s="717"/>
      <c r="O53" s="717"/>
      <c r="P53" s="717"/>
    </row>
    <row r="54" spans="2:16">
      <c r="B54" s="346"/>
      <c r="C54" s="708"/>
      <c r="D54" s="718"/>
      <c r="E54" s="718"/>
      <c r="F54" s="706"/>
      <c r="G54" s="716"/>
      <c r="H54" s="717"/>
      <c r="I54" s="717"/>
      <c r="J54" s="717"/>
      <c r="K54" s="717"/>
      <c r="L54" s="717"/>
      <c r="M54" s="717"/>
      <c r="N54" s="717"/>
      <c r="O54" s="717"/>
      <c r="P54" s="717"/>
    </row>
    <row r="55" spans="2:16">
      <c r="B55" s="346"/>
      <c r="C55" s="708" t="str">
        <f>C51</f>
        <v xml:space="preserve">   Annual Revenue Requirement, Less Return and Taxes</v>
      </c>
      <c r="D55" s="718"/>
      <c r="E55" s="718"/>
      <c r="G55" s="706">
        <f>G51</f>
        <v>141149346.29085824</v>
      </c>
      <c r="H55" s="706"/>
      <c r="I55" s="709"/>
      <c r="J55" s="709"/>
      <c r="K55" s="709"/>
      <c r="L55" s="709"/>
      <c r="M55" s="709"/>
      <c r="N55" s="709"/>
      <c r="O55" s="719"/>
      <c r="P55" s="709"/>
    </row>
    <row r="56" spans="2:16">
      <c r="B56" s="346"/>
      <c r="C56" s="660" t="s">
        <v>104</v>
      </c>
      <c r="D56" s="720"/>
      <c r="E56" s="721"/>
      <c r="G56" s="722">
        <f>F30</f>
        <v>187582845.80203646</v>
      </c>
      <c r="H56" s="957"/>
      <c r="I56" s="709"/>
      <c r="J56" s="721"/>
      <c r="K56" s="721"/>
      <c r="L56" s="721"/>
      <c r="M56" s="721"/>
      <c r="N56" s="721"/>
      <c r="O56" s="721"/>
      <c r="P56" s="721"/>
    </row>
    <row r="57" spans="2:16" ht="12.75" customHeight="1">
      <c r="B57" s="346"/>
      <c r="C57" s="656" t="s">
        <v>72</v>
      </c>
      <c r="D57" s="709"/>
      <c r="E57" s="709"/>
      <c r="G57" s="713">
        <f>F40</f>
        <v>50791130.563325442</v>
      </c>
      <c r="H57" s="955"/>
      <c r="I57" s="709"/>
      <c r="J57" s="423"/>
      <c r="K57" s="313"/>
      <c r="L57" s="313"/>
      <c r="M57" s="313"/>
      <c r="N57" s="313"/>
      <c r="O57" s="313"/>
      <c r="P57" s="423"/>
    </row>
    <row r="58" spans="2:16">
      <c r="B58" s="346"/>
      <c r="C58" s="721" t="str">
        <f>"   Annual Revenue Requirement, with "&amp;F17&amp;" Basis Point ROE increase"</f>
        <v xml:space="preserve">   Annual Revenue Requirement, with 0 Basis Point ROE increase</v>
      </c>
      <c r="D58" s="534"/>
      <c r="E58" s="313"/>
      <c r="G58" s="705">
        <f>SUM(G55:G57)</f>
        <v>379523322.65622014</v>
      </c>
      <c r="H58" s="958"/>
      <c r="I58" s="709"/>
      <c r="J58" s="423"/>
      <c r="K58" s="313"/>
      <c r="L58" s="313"/>
      <c r="M58" s="313"/>
      <c r="N58" s="313"/>
      <c r="O58" s="313"/>
      <c r="P58" s="423"/>
    </row>
    <row r="59" spans="2:16">
      <c r="B59" s="346"/>
      <c r="C59" s="656" t="str">
        <f>"   Depreciation &amp; Amortization (TCOS, ln "&amp;TCOS!B154&amp;")"</f>
        <v xml:space="preserve">   Depreciation &amp; Amortization (TCOS, ln 83)</v>
      </c>
      <c r="D59" s="534"/>
      <c r="E59" s="313"/>
      <c r="G59" s="723">
        <f>TCOS!L154</f>
        <v>73238416.29615666</v>
      </c>
      <c r="H59" s="958"/>
      <c r="I59" s="709"/>
      <c r="J59" s="423"/>
      <c r="K59" s="313"/>
      <c r="L59" s="313"/>
      <c r="M59" s="313"/>
      <c r="N59" s="313"/>
      <c r="O59" s="313"/>
      <c r="P59" s="423"/>
    </row>
    <row r="60" spans="2:16">
      <c r="B60" s="346"/>
      <c r="C60" s="721" t="str">
        <f>"   Annual Rev. Req, w/"&amp;F17&amp;" Basis Point ROE increase, less Depreciation"</f>
        <v xml:space="preserve">   Annual Rev. Req, w/0 Basis Point ROE increase, less Depreciation</v>
      </c>
      <c r="D60" s="534"/>
      <c r="E60" s="313"/>
      <c r="G60" s="705">
        <f>G58-G59</f>
        <v>306284906.36006349</v>
      </c>
      <c r="H60" s="958"/>
      <c r="I60" s="709"/>
      <c r="J60" s="423"/>
      <c r="K60" s="313"/>
      <c r="L60" s="313"/>
      <c r="M60" s="313"/>
      <c r="N60" s="313"/>
      <c r="O60" s="313"/>
      <c r="P60" s="423"/>
    </row>
    <row r="61" spans="2:16">
      <c r="B61" s="346"/>
      <c r="C61" s="313"/>
      <c r="D61" s="534"/>
      <c r="E61" s="313"/>
      <c r="F61" s="313"/>
      <c r="G61" s="313"/>
      <c r="H61" s="959"/>
      <c r="I61" s="709"/>
      <c r="J61" s="423"/>
      <c r="K61" s="313"/>
      <c r="L61" s="313"/>
      <c r="M61" s="313"/>
      <c r="N61" s="313"/>
      <c r="O61" s="313"/>
      <c r="P61" s="423"/>
    </row>
    <row r="62" spans="2:16" ht="15.75">
      <c r="B62" s="346"/>
      <c r="C62" s="655" t="str">
        <f>"C.   Determine FCR with hypothetical "&amp;F17&amp;" basis point ROE increase."</f>
        <v>C.   Determine FCR with hypothetical 0 basis point ROE increase.</v>
      </c>
      <c r="D62" s="534"/>
      <c r="E62" s="313"/>
      <c r="F62" s="313"/>
      <c r="G62" s="313"/>
      <c r="H62" s="959"/>
      <c r="I62" s="709"/>
      <c r="J62" s="423"/>
      <c r="K62" s="313"/>
      <c r="L62" s="313"/>
      <c r="M62" s="313"/>
      <c r="N62" s="313"/>
      <c r="O62" s="313"/>
      <c r="P62" s="423"/>
    </row>
    <row r="63" spans="2:16">
      <c r="B63" s="346"/>
      <c r="C63" s="313"/>
      <c r="D63" s="534"/>
      <c r="E63" s="313"/>
      <c r="F63" s="313"/>
      <c r="G63" s="313"/>
      <c r="H63" s="959"/>
      <c r="I63" s="709"/>
      <c r="J63" s="423"/>
      <c r="K63" s="313"/>
      <c r="L63" s="313"/>
      <c r="M63" s="313"/>
      <c r="N63" s="313"/>
      <c r="O63" s="313"/>
      <c r="P63" s="423"/>
    </row>
    <row r="64" spans="2:16">
      <c r="B64" s="346"/>
      <c r="C64" s="656" t="str">
        <f>"   Net Transmission Plant  (Projected TCOS, ln "&amp;TCOS!B79&amp;")"</f>
        <v xml:space="preserve">   Net Transmission Plant  (Projected TCOS, ln 33)</v>
      </c>
      <c r="D64" s="534"/>
      <c r="E64" s="313"/>
      <c r="G64" s="705">
        <f>TCOS!L79</f>
        <v>2639366227.7634301</v>
      </c>
      <c r="H64" s="958"/>
      <c r="I64" s="709"/>
      <c r="J64" s="423"/>
      <c r="K64" s="313"/>
      <c r="L64" s="313"/>
      <c r="M64" s="313"/>
      <c r="N64" s="313"/>
      <c r="O64" s="313"/>
      <c r="P64" s="423"/>
    </row>
    <row r="65" spans="2:17">
      <c r="B65" s="346"/>
      <c r="C65" s="721" t="str">
        <f>"   Annual Revenue Requirement, with "&amp;F17&amp;" Basis Point ROE increase"</f>
        <v xml:space="preserve">   Annual Revenue Requirement, with 0 Basis Point ROE increase</v>
      </c>
      <c r="D65" s="534"/>
      <c r="E65" s="313"/>
      <c r="G65" s="705">
        <f>G58</f>
        <v>379523322.65622014</v>
      </c>
      <c r="H65" s="958"/>
      <c r="I65" s="709"/>
      <c r="J65" s="423"/>
      <c r="K65" s="313"/>
      <c r="L65" s="313"/>
      <c r="M65" s="313"/>
      <c r="N65" s="313"/>
      <c r="O65" s="313"/>
      <c r="P65" s="423"/>
    </row>
    <row r="66" spans="2:17">
      <c r="B66" s="346"/>
      <c r="C66" s="721" t="str">
        <f>"   FCR with "&amp;F17&amp;" Basis Point increase in ROE"</f>
        <v xml:space="preserve">   FCR with 0 Basis Point increase in ROE</v>
      </c>
      <c r="D66" s="534"/>
      <c r="E66" s="313"/>
      <c r="G66" s="703">
        <f>IF(G64=0,0,G65/G64)</f>
        <v>0.14379335412570768</v>
      </c>
      <c r="H66" s="960"/>
      <c r="I66" s="709"/>
      <c r="J66" s="423"/>
      <c r="K66" s="313"/>
      <c r="L66" s="313"/>
      <c r="M66" s="313"/>
      <c r="N66" s="313"/>
      <c r="O66" s="313"/>
      <c r="P66" s="423"/>
    </row>
    <row r="67" spans="2:17">
      <c r="B67" s="346"/>
      <c r="C67" s="209"/>
      <c r="D67" s="534"/>
      <c r="E67" s="313"/>
      <c r="G67" s="346"/>
      <c r="H67" s="950"/>
      <c r="I67" s="709"/>
      <c r="J67" s="423"/>
      <c r="K67" s="313"/>
      <c r="L67" s="313"/>
      <c r="M67" s="313"/>
      <c r="N67" s="313"/>
      <c r="O67" s="313"/>
      <c r="P67" s="423"/>
    </row>
    <row r="68" spans="2:17">
      <c r="B68" s="346"/>
      <c r="C68" s="721" t="str">
        <f>"   Annual Rev. Req, w / "&amp;F17&amp;" Basis Point ROE increase, less Dep."</f>
        <v xml:space="preserve">   Annual Rev. Req, w / 0 Basis Point ROE increase, less Dep.</v>
      </c>
      <c r="D68" s="534"/>
      <c r="E68" s="313"/>
      <c r="G68" s="705">
        <f>G60</f>
        <v>306284906.36006349</v>
      </c>
      <c r="H68" s="958"/>
      <c r="I68" s="709"/>
      <c r="J68" s="423"/>
      <c r="K68" s="313"/>
      <c r="L68" s="313"/>
      <c r="M68" s="313"/>
      <c r="N68" s="313"/>
      <c r="O68" s="313"/>
      <c r="P68" s="423"/>
    </row>
    <row r="69" spans="2:17">
      <c r="B69" s="346"/>
      <c r="C69" s="721" t="str">
        <f>"   FCR with "&amp;F17&amp;" Basis Point ROE increase, less Depreciation"</f>
        <v xml:space="preserve">   FCR with 0 Basis Point ROE increase, less Depreciation</v>
      </c>
      <c r="D69" s="534"/>
      <c r="E69" s="313"/>
      <c r="G69" s="703">
        <f>IF(G64=0,0,G68/G64)</f>
        <v>0.11604486832416809</v>
      </c>
      <c r="H69" s="960"/>
      <c r="I69" s="724"/>
      <c r="J69" s="423"/>
      <c r="K69" s="313"/>
      <c r="L69" s="313"/>
      <c r="M69" s="313"/>
      <c r="N69" s="313"/>
      <c r="O69" s="313"/>
      <c r="P69" s="423"/>
    </row>
    <row r="70" spans="2:17">
      <c r="B70" s="346"/>
      <c r="C70" s="656" t="str">
        <f>"   FCR less Depreciation  (TCOS, ln "&amp;TCOS!B31&amp;")"</f>
        <v xml:space="preserve">   FCR less Depreciation  (TCOS, ln 10)</v>
      </c>
      <c r="D70" s="534"/>
      <c r="E70" s="313"/>
      <c r="G70" s="725">
        <f>TCOS!L31</f>
        <v>0.11565015966136639</v>
      </c>
      <c r="H70" s="961"/>
      <c r="I70" s="724"/>
      <c r="J70" s="423"/>
      <c r="K70" s="313"/>
      <c r="L70" s="313"/>
      <c r="M70" s="313"/>
      <c r="N70" s="313"/>
      <c r="O70" s="313"/>
      <c r="P70" s="423"/>
    </row>
    <row r="71" spans="2:17">
      <c r="B71" s="346"/>
      <c r="C71" s="721" t="str">
        <f>"   Incremental FCR with "&amp;F17&amp;" Basis Point ROE increase, less Depreciation"</f>
        <v xml:space="preserve">   Incremental FCR with 0 Basis Point ROE increase, less Depreciation</v>
      </c>
      <c r="D71" s="534"/>
      <c r="E71" s="313"/>
      <c r="G71" s="703">
        <f>G69-G70</f>
        <v>3.9470866280169603E-4</v>
      </c>
      <c r="H71" s="960"/>
      <c r="I71" s="709"/>
      <c r="J71" s="423"/>
      <c r="K71" s="313"/>
      <c r="L71" s="313"/>
      <c r="M71" s="313"/>
      <c r="N71" s="313"/>
      <c r="O71" s="313"/>
      <c r="P71" s="423"/>
    </row>
    <row r="72" spans="2:17">
      <c r="B72" s="346"/>
      <c r="C72" s="721"/>
      <c r="D72" s="534"/>
      <c r="E72" s="313"/>
      <c r="F72" s="703"/>
      <c r="G72" s="313"/>
      <c r="H72" s="959"/>
      <c r="I72" s="313"/>
      <c r="J72" s="423"/>
      <c r="K72" s="313"/>
      <c r="L72" s="313"/>
      <c r="M72" s="313"/>
      <c r="N72" s="313"/>
      <c r="O72" s="313"/>
      <c r="P72" s="423"/>
    </row>
    <row r="73" spans="2:17" ht="18.75">
      <c r="B73" s="653" t="s">
        <v>473</v>
      </c>
      <c r="C73" s="652" t="s">
        <v>73</v>
      </c>
      <c r="D73" s="534"/>
      <c r="E73" s="313"/>
      <c r="F73" s="703"/>
      <c r="G73" s="313"/>
      <c r="H73" s="959"/>
      <c r="I73" s="313"/>
      <c r="J73" s="423"/>
      <c r="K73" s="313"/>
      <c r="L73" s="313"/>
      <c r="M73" s="313"/>
      <c r="N73" s="313"/>
      <c r="O73" s="313"/>
      <c r="P73" s="423"/>
    </row>
    <row r="74" spans="2:17">
      <c r="B74" s="346"/>
      <c r="C74" s="721"/>
      <c r="D74" s="534"/>
      <c r="E74" s="313"/>
      <c r="F74" s="703"/>
      <c r="G74" s="313"/>
      <c r="H74" s="959"/>
      <c r="I74" s="313"/>
      <c r="J74" s="423"/>
      <c r="K74" s="313"/>
      <c r="L74" s="313"/>
      <c r="M74" s="313"/>
      <c r="N74" s="313"/>
      <c r="O74" s="313"/>
      <c r="P74" s="423"/>
    </row>
    <row r="75" spans="2:17">
      <c r="B75" s="346"/>
      <c r="C75" s="721" t="str">
        <f>+"Average Transmission Plant Balance for "&amp;TCOS!L4&amp;" TCOS, ln "&amp;TCOS!B63</f>
        <v>Average Transmission Plant Balance for 2021 TCOS, ln 19</v>
      </c>
      <c r="D75" s="1243"/>
      <c r="E75" s="346"/>
      <c r="F75" s="346"/>
      <c r="G75" s="486">
        <f>TCOS!L63</f>
        <v>2823517874.4000001</v>
      </c>
      <c r="I75" s="313"/>
      <c r="J75" s="423"/>
      <c r="K75" s="726"/>
      <c r="L75" s="313"/>
      <c r="M75" s="313"/>
      <c r="N75" s="313"/>
      <c r="O75" s="313"/>
      <c r="P75" s="423"/>
    </row>
    <row r="76" spans="2:17">
      <c r="B76" s="346"/>
      <c r="C76" s="721" t="str">
        <f>"Annual Depreciation and Amortization Expense (TCOS, ln "&amp;TCOS!B154&amp;")"</f>
        <v>Annual Depreciation and Amortization Expense (TCOS, ln 83)</v>
      </c>
      <c r="D76" s="534"/>
      <c r="E76" s="313"/>
      <c r="G76" s="486">
        <f>TCOS!L154</f>
        <v>73238416.29615666</v>
      </c>
      <c r="H76" s="704"/>
      <c r="I76" s="313"/>
      <c r="J76" s="423"/>
      <c r="K76" s="313"/>
      <c r="L76" s="313"/>
      <c r="M76" s="313"/>
      <c r="N76" s="313"/>
      <c r="O76" s="313"/>
      <c r="P76" s="423"/>
    </row>
    <row r="77" spans="2:17" ht="12.75" customHeight="1">
      <c r="B77" s="346"/>
      <c r="C77" s="721" t="s">
        <v>74</v>
      </c>
      <c r="D77" s="534"/>
      <c r="E77" s="313"/>
      <c r="G77" s="895">
        <f>G76/G75</f>
        <v>2.5938711761022547E-2</v>
      </c>
      <c r="H77" s="727"/>
      <c r="I77" s="156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61"/>
      <c r="K77" s="1561"/>
      <c r="L77" s="1561"/>
      <c r="M77" s="1561"/>
      <c r="N77" s="1561"/>
      <c r="O77" s="1561"/>
      <c r="P77" s="654"/>
      <c r="Q77" s="654"/>
    </row>
    <row r="78" spans="2:17">
      <c r="B78" s="346"/>
      <c r="C78" s="721" t="s">
        <v>75</v>
      </c>
      <c r="D78" s="534"/>
      <c r="E78" s="313"/>
      <c r="G78" s="728">
        <f>IF(G77=0,0,1/G77)</f>
        <v>38.552415756540192</v>
      </c>
      <c r="H78" s="704"/>
      <c r="I78" s="1561"/>
      <c r="J78" s="1561"/>
      <c r="K78" s="1561"/>
      <c r="L78" s="1561"/>
      <c r="M78" s="1561"/>
      <c r="N78" s="1561"/>
      <c r="O78" s="1561"/>
      <c r="P78" s="654"/>
      <c r="Q78" s="654"/>
    </row>
    <row r="79" spans="2:17">
      <c r="B79" s="346"/>
      <c r="C79" s="721" t="s">
        <v>598</v>
      </c>
      <c r="D79" s="534"/>
      <c r="E79" s="313"/>
      <c r="G79" s="729">
        <f>ROUND(G78,0)</f>
        <v>39</v>
      </c>
      <c r="H79" s="704"/>
      <c r="I79" s="1561"/>
      <c r="J79" s="1561"/>
      <c r="K79" s="1561"/>
      <c r="L79" s="1561"/>
      <c r="M79" s="1561"/>
      <c r="N79" s="1561"/>
      <c r="O79" s="1561"/>
      <c r="P79" s="654"/>
      <c r="Q79" s="654"/>
    </row>
    <row r="80" spans="2:17">
      <c r="B80" s="346"/>
      <c r="C80" s="721"/>
      <c r="D80" s="534"/>
      <c r="E80" s="313"/>
      <c r="G80" s="730"/>
      <c r="H80" s="704"/>
      <c r="I80" s="1561"/>
      <c r="J80" s="1561"/>
      <c r="K80" s="1561"/>
      <c r="L80" s="1561"/>
      <c r="M80" s="1561"/>
      <c r="N80" s="1561"/>
      <c r="O80" s="1561"/>
    </row>
    <row r="81" spans="1:16">
      <c r="C81" s="731"/>
      <c r="D81" s="732"/>
      <c r="E81" s="732"/>
      <c r="F81" s="732"/>
      <c r="G81" s="726"/>
      <c r="H81" s="726"/>
    </row>
    <row r="82" spans="1:16" ht="20.25">
      <c r="A82" s="733" t="str">
        <f>""&amp;A6&amp;" Worksheet J -  ATRR PROJECTED Calculation for PJM Projects Charged to Benefiting Zones"</f>
        <v>AEP Indiana Michigan Transmission Company Worksheet J -  ATRR PROJECTED Calculation for PJM Projects Charged to Benefiting Zones</v>
      </c>
      <c r="B82" s="346"/>
      <c r="C82" s="721"/>
      <c r="D82" s="534"/>
      <c r="E82" s="313"/>
      <c r="F82" s="703"/>
      <c r="G82" s="313"/>
      <c r="H82" s="704"/>
      <c r="K82" s="560"/>
      <c r="L82" s="560"/>
      <c r="M82" s="560"/>
      <c r="N82" s="649" t="str">
        <f>"Page "&amp;SUM(P$8:P82)&amp;" of "</f>
        <v xml:space="preserve">Page 2 of </v>
      </c>
      <c r="O82" s="650">
        <f>COUNT(P$8:P$56656)</f>
        <v>11</v>
      </c>
      <c r="P82" s="734">
        <v>1</v>
      </c>
    </row>
    <row r="83" spans="1:16">
      <c r="B83" s="346"/>
      <c r="C83" s="313"/>
      <c r="D83" s="534"/>
      <c r="E83" s="313"/>
      <c r="F83" s="313"/>
      <c r="G83" s="313"/>
      <c r="H83" s="704"/>
      <c r="I83" s="313"/>
      <c r="J83" s="423"/>
      <c r="K83" s="313"/>
      <c r="L83" s="313"/>
      <c r="M83" s="313"/>
      <c r="N83" s="313"/>
      <c r="O83" s="313"/>
      <c r="P83" s="423"/>
    </row>
    <row r="84" spans="1:16" ht="18">
      <c r="B84" s="653" t="s">
        <v>474</v>
      </c>
      <c r="C84" s="735" t="s">
        <v>95</v>
      </c>
      <c r="D84" s="534"/>
      <c r="E84" s="313"/>
      <c r="F84" s="313"/>
      <c r="G84" s="313"/>
      <c r="H84" s="704"/>
      <c r="I84" s="704"/>
      <c r="J84" s="726"/>
      <c r="K84" s="704"/>
      <c r="L84" s="704"/>
      <c r="M84" s="704"/>
      <c r="N84" s="704"/>
      <c r="O84" s="313"/>
    </row>
    <row r="85" spans="1:16" ht="18.75">
      <c r="B85" s="653"/>
      <c r="C85" s="652"/>
      <c r="D85" s="534"/>
      <c r="E85" s="313"/>
      <c r="F85" s="313"/>
      <c r="G85" s="313"/>
      <c r="H85" s="704"/>
      <c r="I85" s="704"/>
      <c r="J85" s="726"/>
      <c r="K85" s="704"/>
      <c r="L85" s="704"/>
      <c r="M85" s="704"/>
      <c r="N85" s="704"/>
      <c r="O85" s="313"/>
    </row>
    <row r="86" spans="1:16" ht="18.75">
      <c r="B86" s="653"/>
      <c r="C86" s="652" t="s">
        <v>96</v>
      </c>
      <c r="D86" s="534"/>
      <c r="E86" s="313"/>
      <c r="F86" s="313"/>
      <c r="G86" s="313"/>
      <c r="H86" s="704"/>
      <c r="I86" s="704"/>
      <c r="J86" s="726"/>
      <c r="K86" s="704"/>
      <c r="L86" s="704"/>
      <c r="M86" s="704"/>
      <c r="N86" s="704"/>
      <c r="O86" s="313"/>
    </row>
    <row r="87" spans="1:16" ht="15.75" thickBot="1">
      <c r="C87" s="240"/>
      <c r="D87" s="534"/>
      <c r="E87" s="313"/>
      <c r="F87" s="313"/>
      <c r="G87" s="313"/>
      <c r="H87" s="704"/>
      <c r="I87" s="704"/>
      <c r="J87" s="726"/>
      <c r="K87" s="704"/>
      <c r="L87" s="704"/>
      <c r="M87" s="704"/>
      <c r="N87" s="704"/>
      <c r="O87" s="313"/>
    </row>
    <row r="88" spans="1:16" ht="15.75">
      <c r="C88" s="655" t="s">
        <v>97</v>
      </c>
      <c r="D88" s="534"/>
      <c r="E88" s="313"/>
      <c r="F88" s="313"/>
      <c r="G88" s="802"/>
      <c r="H88" s="313" t="s">
        <v>76</v>
      </c>
      <c r="I88" s="313"/>
      <c r="J88" s="423"/>
      <c r="K88" s="736" t="s">
        <v>101</v>
      </c>
      <c r="L88" s="737"/>
      <c r="M88" s="738"/>
      <c r="N88" s="739">
        <f>IF(I94=0,0,VLOOKUP(I94,C101:O160,5))</f>
        <v>770343.86707102077</v>
      </c>
      <c r="O88" s="313"/>
    </row>
    <row r="89" spans="1:16" ht="15.75">
      <c r="C89" s="655"/>
      <c r="D89" s="534"/>
      <c r="E89" s="313"/>
      <c r="F89" s="313"/>
      <c r="G89" s="313"/>
      <c r="H89" s="740"/>
      <c r="I89" s="740"/>
      <c r="J89" s="741"/>
      <c r="K89" s="742" t="s">
        <v>102</v>
      </c>
      <c r="L89" s="743"/>
      <c r="M89" s="423"/>
      <c r="N89" s="744">
        <f>IF(I94=0,0,VLOOKUP(I94,C101:O160,6))</f>
        <v>770343.86707102077</v>
      </c>
      <c r="O89" s="313"/>
    </row>
    <row r="90" spans="1:16" ht="13.5" thickBot="1">
      <c r="C90" s="745" t="s">
        <v>98</v>
      </c>
      <c r="D90" s="1303" t="s">
        <v>815</v>
      </c>
      <c r="E90" s="1303"/>
      <c r="F90" s="1303"/>
      <c r="G90" s="1303"/>
      <c r="H90" s="1303"/>
      <c r="I90" s="1303"/>
      <c r="J90" s="726"/>
      <c r="K90" s="746" t="s">
        <v>240</v>
      </c>
      <c r="L90" s="747"/>
      <c r="M90" s="747"/>
      <c r="N90" s="748">
        <f>+N89-N88</f>
        <v>0</v>
      </c>
      <c r="O90" s="313"/>
    </row>
    <row r="91" spans="1:16">
      <c r="C91" s="749"/>
      <c r="D91" s="750"/>
      <c r="E91" s="730"/>
      <c r="F91" s="730"/>
      <c r="G91" s="751"/>
      <c r="H91" s="704"/>
      <c r="I91" s="704"/>
      <c r="J91" s="726"/>
      <c r="K91" s="704"/>
      <c r="L91" s="704"/>
      <c r="M91" s="704"/>
      <c r="N91" s="704"/>
      <c r="O91" s="313"/>
    </row>
    <row r="92" spans="1:16" ht="13.5" thickBot="1">
      <c r="C92" s="752"/>
      <c r="D92" s="753"/>
      <c r="E92" s="751"/>
      <c r="F92" s="751"/>
      <c r="G92" s="751"/>
      <c r="H92" s="751"/>
      <c r="I92" s="751"/>
      <c r="J92" s="754"/>
      <c r="K92" s="751"/>
      <c r="L92" s="751"/>
      <c r="M92" s="751"/>
      <c r="N92" s="751"/>
      <c r="O92" s="346"/>
    </row>
    <row r="93" spans="1:16" ht="13.5" thickBot="1">
      <c r="C93" s="755" t="s">
        <v>99</v>
      </c>
      <c r="D93" s="756"/>
      <c r="E93" s="756"/>
      <c r="F93" s="756"/>
      <c r="G93" s="756"/>
      <c r="H93" s="756"/>
      <c r="I93" s="757"/>
      <c r="J93" s="758"/>
      <c r="K93" s="313"/>
      <c r="L93" s="313"/>
      <c r="M93" s="313"/>
      <c r="N93" s="313"/>
      <c r="O93" s="759"/>
    </row>
    <row r="94" spans="1:16" ht="15">
      <c r="C94" s="760" t="s">
        <v>77</v>
      </c>
      <c r="D94" s="804">
        <v>6636011</v>
      </c>
      <c r="E94" s="721" t="s">
        <v>78</v>
      </c>
      <c r="G94" s="761"/>
      <c r="H94" s="761"/>
      <c r="I94" s="762">
        <f>$L$26</f>
        <v>2021</v>
      </c>
      <c r="J94" s="550"/>
      <c r="K94" s="1558" t="s">
        <v>249</v>
      </c>
      <c r="L94" s="1558"/>
      <c r="M94" s="1558"/>
      <c r="N94" s="1558"/>
      <c r="O94" s="1558"/>
    </row>
    <row r="95" spans="1:16">
      <c r="C95" s="760" t="s">
        <v>80</v>
      </c>
      <c r="D95" s="805">
        <v>2012</v>
      </c>
      <c r="E95" s="760" t="s">
        <v>81</v>
      </c>
      <c r="F95" s="761"/>
      <c r="H95" s="173"/>
      <c r="I95" s="806">
        <f>IF(G88="",0,$F$17)</f>
        <v>0</v>
      </c>
      <c r="J95" s="763"/>
      <c r="K95" s="726" t="s">
        <v>249</v>
      </c>
    </row>
    <row r="96" spans="1:16">
      <c r="C96" s="760" t="s">
        <v>82</v>
      </c>
      <c r="D96" s="804">
        <v>12</v>
      </c>
      <c r="E96" s="760" t="s">
        <v>83</v>
      </c>
      <c r="F96" s="761"/>
      <c r="H96" s="173"/>
      <c r="I96" s="764">
        <f>$G$70</f>
        <v>0.11565015966136639</v>
      </c>
      <c r="J96" s="765"/>
      <c r="K96" s="173" t="str">
        <f>"          INPUT PROJECTED ARR (WITH &amp; WITHOUT INCENTIVES) FROM EACH PRIOR YEAR"</f>
        <v xml:space="preserve">          INPUT PROJECTED ARR (WITH &amp; WITHOUT INCENTIVES) FROM EACH PRIOR YEAR</v>
      </c>
    </row>
    <row r="97" spans="2:15">
      <c r="C97" s="760" t="s">
        <v>84</v>
      </c>
      <c r="D97" s="766">
        <f>$G$79</f>
        <v>39</v>
      </c>
      <c r="E97" s="760" t="s">
        <v>85</v>
      </c>
      <c r="F97" s="761"/>
      <c r="H97" s="173"/>
      <c r="I97" s="764">
        <f>IF(G88="",I96,$G$69)</f>
        <v>0.11565015966136639</v>
      </c>
      <c r="J97" s="767"/>
      <c r="K97" s="173" t="s">
        <v>162</v>
      </c>
    </row>
    <row r="98" spans="2:15" ht="13.5" thickBot="1">
      <c r="C98" s="760" t="s">
        <v>86</v>
      </c>
      <c r="D98" s="803" t="s">
        <v>814</v>
      </c>
      <c r="E98" s="768" t="s">
        <v>87</v>
      </c>
      <c r="F98" s="769"/>
      <c r="G98" s="770"/>
      <c r="H98" s="770"/>
      <c r="I98" s="748">
        <f>IF(D94=0,0,D94/D97)</f>
        <v>170154.12820512822</v>
      </c>
      <c r="J98" s="726"/>
      <c r="K98" s="726" t="s">
        <v>168</v>
      </c>
      <c r="L98" s="726"/>
      <c r="M98" s="726"/>
      <c r="N98" s="726"/>
      <c r="O98" s="423"/>
    </row>
    <row r="99" spans="2:15" ht="51">
      <c r="B99" s="841"/>
      <c r="C99" s="771" t="s">
        <v>77</v>
      </c>
      <c r="D99" s="772" t="s">
        <v>88</v>
      </c>
      <c r="E99" s="773" t="s">
        <v>89</v>
      </c>
      <c r="F99" s="772" t="s">
        <v>90</v>
      </c>
      <c r="G99" s="773" t="s">
        <v>161</v>
      </c>
      <c r="H99" s="774" t="s">
        <v>161</v>
      </c>
      <c r="I99" s="771" t="s">
        <v>100</v>
      </c>
      <c r="J99" s="775"/>
      <c r="K99" s="773" t="s">
        <v>170</v>
      </c>
      <c r="L99" s="776"/>
      <c r="M99" s="773" t="s">
        <v>170</v>
      </c>
      <c r="N99" s="776"/>
      <c r="O99" s="776"/>
    </row>
    <row r="100" spans="2:15" ht="13.5" thickBot="1">
      <c r="C100" s="777" t="s">
        <v>477</v>
      </c>
      <c r="D100" s="778" t="s">
        <v>478</v>
      </c>
      <c r="E100" s="777" t="s">
        <v>371</v>
      </c>
      <c r="F100" s="778" t="s">
        <v>478</v>
      </c>
      <c r="G100" s="779" t="s">
        <v>103</v>
      </c>
      <c r="H100" s="780" t="s">
        <v>105</v>
      </c>
      <c r="I100" s="781" t="s">
        <v>17</v>
      </c>
      <c r="J100" s="782"/>
      <c r="K100" s="779" t="s">
        <v>92</v>
      </c>
      <c r="L100" s="783"/>
      <c r="M100" s="779" t="s">
        <v>105</v>
      </c>
      <c r="N100" s="783"/>
      <c r="O100" s="783"/>
    </row>
    <row r="101" spans="2:15">
      <c r="C101" s="784">
        <f>IF(D95= "","-",D95)</f>
        <v>2012</v>
      </c>
      <c r="D101" s="732">
        <f>+D94</f>
        <v>6636011</v>
      </c>
      <c r="E101" s="785">
        <f>+I98/12*(12-D96)</f>
        <v>0</v>
      </c>
      <c r="F101" s="732">
        <f>+D101-E101</f>
        <v>6636011</v>
      </c>
      <c r="G101" s="993">
        <f>+$I$96*((D101+F101)/2)+E101</f>
        <v>767455.73166458367</v>
      </c>
      <c r="H101" s="994">
        <f>$I$97*((D101+F101)/2)+E101</f>
        <v>767455.73166458367</v>
      </c>
      <c r="I101" s="788">
        <f>+H101-G101</f>
        <v>0</v>
      </c>
      <c r="J101" s="788"/>
      <c r="K101" s="807">
        <v>655786</v>
      </c>
      <c r="L101" s="789"/>
      <c r="M101" s="807">
        <v>655786</v>
      </c>
      <c r="N101" s="789"/>
      <c r="O101" s="789"/>
    </row>
    <row r="102" spans="2:15">
      <c r="C102" s="784">
        <f>IF(D95="","-",+C101+1)</f>
        <v>2013</v>
      </c>
      <c r="D102" s="732">
        <f t="shared" ref="D102:D160" si="0">F101</f>
        <v>6636011</v>
      </c>
      <c r="E102" s="785">
        <f>IF(D102&gt;$I$98,$I$98,D102)</f>
        <v>170154.12820512822</v>
      </c>
      <c r="F102" s="732">
        <f t="shared" ref="F102:F160" si="1">+D102-E102</f>
        <v>6465856.871794872</v>
      </c>
      <c r="G102" s="790">
        <f t="shared" ref="G102:G160" si="2">+$I$96*((D102+F102)/2)+E102</f>
        <v>927770.68382273009</v>
      </c>
      <c r="H102" s="791">
        <f t="shared" ref="H102:H160" si="3">$I$97*((D102+F102)/2)+E102</f>
        <v>927770.68382273009</v>
      </c>
      <c r="I102" s="788">
        <f t="shared" ref="I102:I160" si="4">+H102-G102</f>
        <v>0</v>
      </c>
      <c r="J102" s="788"/>
      <c r="K102" s="808">
        <v>758010</v>
      </c>
      <c r="L102" s="792"/>
      <c r="M102" s="808">
        <v>758010</v>
      </c>
      <c r="N102" s="792"/>
      <c r="O102" s="792"/>
    </row>
    <row r="103" spans="2:15">
      <c r="C103" s="784">
        <f>IF(D95="","-",+C102+1)</f>
        <v>2014</v>
      </c>
      <c r="D103" s="732">
        <f t="shared" si="0"/>
        <v>6465856.871794872</v>
      </c>
      <c r="E103" s="785">
        <f t="shared" ref="E103:E160" si="5">IF(D103&gt;$I$98,$I$98,D103)</f>
        <v>170154.12820512822</v>
      </c>
      <c r="F103" s="732">
        <f t="shared" si="1"/>
        <v>6295702.743589744</v>
      </c>
      <c r="G103" s="790">
        <f t="shared" si="2"/>
        <v>908092.33172876644</v>
      </c>
      <c r="H103" s="791">
        <f t="shared" si="3"/>
        <v>908092.33172876644</v>
      </c>
      <c r="I103" s="788">
        <f t="shared" si="4"/>
        <v>0</v>
      </c>
      <c r="J103" s="788"/>
      <c r="K103" s="808">
        <v>735370</v>
      </c>
      <c r="L103" s="792"/>
      <c r="M103" s="808">
        <v>735370</v>
      </c>
      <c r="N103" s="792"/>
      <c r="O103" s="792"/>
    </row>
    <row r="104" spans="2:15">
      <c r="C104" s="784">
        <f>IF(D95="","-",+C103+1)</f>
        <v>2015</v>
      </c>
      <c r="D104" s="732">
        <f t="shared" si="0"/>
        <v>6295702.743589744</v>
      </c>
      <c r="E104" s="785">
        <f t="shared" si="5"/>
        <v>170154.12820512822</v>
      </c>
      <c r="F104" s="732">
        <f t="shared" si="1"/>
        <v>6125548.615384616</v>
      </c>
      <c r="G104" s="790">
        <f t="shared" si="2"/>
        <v>888413.97963480279</v>
      </c>
      <c r="H104" s="791">
        <f t="shared" si="3"/>
        <v>888413.97963480279</v>
      </c>
      <c r="I104" s="788">
        <f t="shared" si="4"/>
        <v>0</v>
      </c>
      <c r="J104" s="788"/>
      <c r="K104" s="808">
        <v>1351122</v>
      </c>
      <c r="L104" s="792"/>
      <c r="M104" s="808">
        <v>1351122</v>
      </c>
      <c r="N104" s="792"/>
      <c r="O104" s="792"/>
    </row>
    <row r="105" spans="2:15">
      <c r="C105" s="784">
        <f>IF(D95="","-",+C104+1)</f>
        <v>2016</v>
      </c>
      <c r="D105" s="732">
        <f t="shared" si="0"/>
        <v>6125548.615384616</v>
      </c>
      <c r="E105" s="785">
        <f t="shared" si="5"/>
        <v>170154.12820512822</v>
      </c>
      <c r="F105" s="732">
        <f t="shared" si="1"/>
        <v>5955394.4871794879</v>
      </c>
      <c r="G105" s="790">
        <f t="shared" si="2"/>
        <v>868735.62754083914</v>
      </c>
      <c r="H105" s="791">
        <f t="shared" si="3"/>
        <v>868735.62754083914</v>
      </c>
      <c r="I105" s="788">
        <f t="shared" si="4"/>
        <v>0</v>
      </c>
      <c r="J105" s="788"/>
      <c r="K105" s="808">
        <v>758565</v>
      </c>
      <c r="L105" s="792"/>
      <c r="M105" s="808">
        <v>758565</v>
      </c>
      <c r="N105" s="792"/>
      <c r="O105" s="792"/>
    </row>
    <row r="106" spans="2:15">
      <c r="C106" s="1305">
        <f>IF(D95="","-",+C105+1)</f>
        <v>2017</v>
      </c>
      <c r="D106" s="732">
        <f t="shared" si="0"/>
        <v>5955394.4871794879</v>
      </c>
      <c r="E106" s="785">
        <f t="shared" si="5"/>
        <v>170154.12820512822</v>
      </c>
      <c r="F106" s="732">
        <f t="shared" si="1"/>
        <v>5785240.3589743599</v>
      </c>
      <c r="G106" s="790">
        <f t="shared" si="2"/>
        <v>849057.27544687549</v>
      </c>
      <c r="H106" s="791">
        <f t="shared" si="3"/>
        <v>849057.27544687549</v>
      </c>
      <c r="I106" s="788">
        <f t="shared" si="4"/>
        <v>0</v>
      </c>
      <c r="J106" s="788"/>
      <c r="K106" s="808">
        <v>1860187</v>
      </c>
      <c r="L106" s="792"/>
      <c r="M106" s="808">
        <v>1860187</v>
      </c>
      <c r="N106" s="792"/>
      <c r="O106" s="792"/>
    </row>
    <row r="107" spans="2:15">
      <c r="C107" s="1327">
        <f>IF(D95="","-",+C106+1)</f>
        <v>2018</v>
      </c>
      <c r="D107" s="732">
        <f t="shared" si="0"/>
        <v>5785240.3589743599</v>
      </c>
      <c r="E107" s="785">
        <f t="shared" si="5"/>
        <v>170154.12820512822</v>
      </c>
      <c r="F107" s="732">
        <f t="shared" si="1"/>
        <v>5615086.2307692319</v>
      </c>
      <c r="G107" s="790">
        <f t="shared" si="2"/>
        <v>829378.92335291172</v>
      </c>
      <c r="H107" s="791">
        <f t="shared" si="3"/>
        <v>829378.92335291172</v>
      </c>
      <c r="I107" s="788">
        <f t="shared" si="4"/>
        <v>0</v>
      </c>
      <c r="J107" s="788"/>
      <c r="K107" s="808">
        <v>1592956</v>
      </c>
      <c r="L107" s="792"/>
      <c r="M107" s="808">
        <v>1592956</v>
      </c>
      <c r="N107" s="792"/>
      <c r="O107" s="792"/>
    </row>
    <row r="108" spans="2:15">
      <c r="C108" s="1304">
        <f>IF(D95="","-",+C107+1)</f>
        <v>2019</v>
      </c>
      <c r="D108" s="732">
        <f t="shared" si="0"/>
        <v>5615086.2307692319</v>
      </c>
      <c r="E108" s="785">
        <f t="shared" si="5"/>
        <v>170154.12820512822</v>
      </c>
      <c r="F108" s="732">
        <f t="shared" si="1"/>
        <v>5444932.1025641039</v>
      </c>
      <c r="G108" s="790">
        <f t="shared" si="2"/>
        <v>809700.57125894807</v>
      </c>
      <c r="H108" s="791">
        <f t="shared" si="3"/>
        <v>809700.57125894807</v>
      </c>
      <c r="I108" s="788">
        <f t="shared" si="4"/>
        <v>0</v>
      </c>
      <c r="J108" s="788"/>
      <c r="K108" s="808"/>
      <c r="L108" s="792"/>
      <c r="M108" s="808"/>
      <c r="N108" s="792"/>
      <c r="O108" s="792"/>
    </row>
    <row r="109" spans="2:15">
      <c r="C109" s="784">
        <f>IF(D95="","-",+C108+1)</f>
        <v>2020</v>
      </c>
      <c r="D109" s="732">
        <f t="shared" si="0"/>
        <v>5444932.1025641039</v>
      </c>
      <c r="E109" s="785">
        <f t="shared" si="5"/>
        <v>170154.12820512822</v>
      </c>
      <c r="F109" s="732">
        <f t="shared" si="1"/>
        <v>5274777.9743589759</v>
      </c>
      <c r="G109" s="790">
        <f t="shared" si="2"/>
        <v>790022.21916498442</v>
      </c>
      <c r="H109" s="791">
        <f t="shared" si="3"/>
        <v>790022.21916498442</v>
      </c>
      <c r="I109" s="788">
        <f t="shared" si="4"/>
        <v>0</v>
      </c>
      <c r="J109" s="788"/>
      <c r="K109" s="808"/>
      <c r="L109" s="792"/>
      <c r="M109" s="808"/>
      <c r="N109" s="792"/>
      <c r="O109" s="792"/>
    </row>
    <row r="110" spans="2:15">
      <c r="C110" s="784">
        <f>IF(D95="","-",+C109+1)</f>
        <v>2021</v>
      </c>
      <c r="D110" s="732">
        <f t="shared" si="0"/>
        <v>5274777.9743589759</v>
      </c>
      <c r="E110" s="785">
        <f t="shared" si="5"/>
        <v>170154.12820512822</v>
      </c>
      <c r="F110" s="732">
        <f t="shared" si="1"/>
        <v>5104623.8461538479</v>
      </c>
      <c r="G110" s="790">
        <f t="shared" si="2"/>
        <v>770343.86707102077</v>
      </c>
      <c r="H110" s="791">
        <f t="shared" si="3"/>
        <v>770343.86707102077</v>
      </c>
      <c r="I110" s="788">
        <f t="shared" si="4"/>
        <v>0</v>
      </c>
      <c r="J110" s="788"/>
      <c r="K110" s="808"/>
      <c r="L110" s="792"/>
      <c r="M110" s="808"/>
      <c r="N110" s="792"/>
      <c r="O110" s="792"/>
    </row>
    <row r="111" spans="2:15">
      <c r="C111" s="784">
        <f>IF(D95="","-",+C110+1)</f>
        <v>2022</v>
      </c>
      <c r="D111" s="732">
        <f t="shared" si="0"/>
        <v>5104623.8461538479</v>
      </c>
      <c r="E111" s="785">
        <f t="shared" si="5"/>
        <v>170154.12820512822</v>
      </c>
      <c r="F111" s="732">
        <f t="shared" si="1"/>
        <v>4934469.7179487199</v>
      </c>
      <c r="G111" s="790">
        <f t="shared" si="2"/>
        <v>750665.51497705712</v>
      </c>
      <c r="H111" s="791">
        <f t="shared" si="3"/>
        <v>750665.51497705712</v>
      </c>
      <c r="I111" s="788">
        <f t="shared" si="4"/>
        <v>0</v>
      </c>
      <c r="J111" s="788"/>
      <c r="K111" s="808"/>
      <c r="L111" s="792"/>
      <c r="M111" s="808"/>
      <c r="N111" s="792"/>
      <c r="O111" s="792"/>
    </row>
    <row r="112" spans="2:15">
      <c r="C112" s="784">
        <f>IF(D95="","-",+C111+1)</f>
        <v>2023</v>
      </c>
      <c r="D112" s="732">
        <f t="shared" si="0"/>
        <v>4934469.7179487199</v>
      </c>
      <c r="E112" s="785">
        <f t="shared" si="5"/>
        <v>170154.12820512822</v>
      </c>
      <c r="F112" s="732">
        <f t="shared" si="1"/>
        <v>4764315.5897435918</v>
      </c>
      <c r="G112" s="790">
        <f t="shared" si="2"/>
        <v>730987.16288309346</v>
      </c>
      <c r="H112" s="791">
        <f t="shared" si="3"/>
        <v>730987.16288309346</v>
      </c>
      <c r="I112" s="788">
        <f t="shared" si="4"/>
        <v>0</v>
      </c>
      <c r="J112" s="788"/>
      <c r="K112" s="808"/>
      <c r="L112" s="792"/>
      <c r="M112" s="808"/>
      <c r="N112" s="792"/>
      <c r="O112" s="792"/>
    </row>
    <row r="113" spans="3:15">
      <c r="C113" s="784">
        <f>IF(D95="","-",+C112+1)</f>
        <v>2024</v>
      </c>
      <c r="D113" s="732">
        <f t="shared" si="0"/>
        <v>4764315.5897435918</v>
      </c>
      <c r="E113" s="785">
        <f t="shared" si="5"/>
        <v>170154.12820512822</v>
      </c>
      <c r="F113" s="732">
        <f t="shared" si="1"/>
        <v>4594161.4615384638</v>
      </c>
      <c r="G113" s="790">
        <f t="shared" si="2"/>
        <v>711308.81078912981</v>
      </c>
      <c r="H113" s="791">
        <f t="shared" si="3"/>
        <v>711308.81078912981</v>
      </c>
      <c r="I113" s="788">
        <f t="shared" si="4"/>
        <v>0</v>
      </c>
      <c r="J113" s="788"/>
      <c r="K113" s="808"/>
      <c r="L113" s="792"/>
      <c r="M113" s="808"/>
      <c r="N113" s="793"/>
      <c r="O113" s="792"/>
    </row>
    <row r="114" spans="3:15">
      <c r="C114" s="784">
        <f>IF(D95="","-",+C113+1)</f>
        <v>2025</v>
      </c>
      <c r="D114" s="732">
        <f t="shared" si="0"/>
        <v>4594161.4615384638</v>
      </c>
      <c r="E114" s="785">
        <f t="shared" si="5"/>
        <v>170154.12820512822</v>
      </c>
      <c r="F114" s="732">
        <f t="shared" si="1"/>
        <v>4424007.3333333358</v>
      </c>
      <c r="G114" s="790">
        <f t="shared" si="2"/>
        <v>691630.45869516616</v>
      </c>
      <c r="H114" s="791">
        <f t="shared" si="3"/>
        <v>691630.45869516616</v>
      </c>
      <c r="I114" s="788">
        <f t="shared" si="4"/>
        <v>0</v>
      </c>
      <c r="J114" s="788"/>
      <c r="K114" s="808"/>
      <c r="L114" s="792"/>
      <c r="M114" s="808"/>
      <c r="N114" s="792"/>
      <c r="O114" s="792"/>
    </row>
    <row r="115" spans="3:15">
      <c r="C115" s="784">
        <f>IF(D95="","-",+C114+1)</f>
        <v>2026</v>
      </c>
      <c r="D115" s="732">
        <f t="shared" si="0"/>
        <v>4424007.3333333358</v>
      </c>
      <c r="E115" s="785">
        <f t="shared" si="5"/>
        <v>170154.12820512822</v>
      </c>
      <c r="F115" s="732">
        <f t="shared" si="1"/>
        <v>4253853.2051282078</v>
      </c>
      <c r="G115" s="790">
        <f t="shared" si="2"/>
        <v>671952.10660120251</v>
      </c>
      <c r="H115" s="791">
        <f t="shared" si="3"/>
        <v>671952.10660120251</v>
      </c>
      <c r="I115" s="788">
        <f t="shared" si="4"/>
        <v>0</v>
      </c>
      <c r="J115" s="788"/>
      <c r="K115" s="808"/>
      <c r="L115" s="792"/>
      <c r="M115" s="808"/>
      <c r="N115" s="792"/>
      <c r="O115" s="792"/>
    </row>
    <row r="116" spans="3:15">
      <c r="C116" s="784">
        <f>IF(D95="","-",+C115+1)</f>
        <v>2027</v>
      </c>
      <c r="D116" s="732">
        <f t="shared" si="0"/>
        <v>4253853.2051282078</v>
      </c>
      <c r="E116" s="785">
        <f t="shared" si="5"/>
        <v>170154.12820512822</v>
      </c>
      <c r="F116" s="732">
        <f t="shared" si="1"/>
        <v>4083699.0769230798</v>
      </c>
      <c r="G116" s="790">
        <f t="shared" si="2"/>
        <v>652273.75450723874</v>
      </c>
      <c r="H116" s="791">
        <f t="shared" si="3"/>
        <v>652273.75450723874</v>
      </c>
      <c r="I116" s="788">
        <f t="shared" si="4"/>
        <v>0</v>
      </c>
      <c r="J116" s="788"/>
      <c r="K116" s="808"/>
      <c r="L116" s="792"/>
      <c r="M116" s="808"/>
      <c r="N116" s="792"/>
      <c r="O116" s="792"/>
    </row>
    <row r="117" spans="3:15">
      <c r="C117" s="784">
        <f>IF(D95="","-",+C116+1)</f>
        <v>2028</v>
      </c>
      <c r="D117" s="732">
        <f t="shared" si="0"/>
        <v>4083699.0769230798</v>
      </c>
      <c r="E117" s="785">
        <f t="shared" si="5"/>
        <v>170154.12820512822</v>
      </c>
      <c r="F117" s="732">
        <f t="shared" si="1"/>
        <v>3913544.9487179518</v>
      </c>
      <c r="G117" s="790">
        <f t="shared" si="2"/>
        <v>632595.40241327509</v>
      </c>
      <c r="H117" s="791">
        <f t="shared" si="3"/>
        <v>632595.40241327509</v>
      </c>
      <c r="I117" s="788">
        <f t="shared" si="4"/>
        <v>0</v>
      </c>
      <c r="J117" s="788"/>
      <c r="K117" s="808"/>
      <c r="L117" s="792"/>
      <c r="M117" s="808"/>
      <c r="N117" s="792"/>
      <c r="O117" s="792"/>
    </row>
    <row r="118" spans="3:15">
      <c r="C118" s="784">
        <f>IF(D95="","-",+C117+1)</f>
        <v>2029</v>
      </c>
      <c r="D118" s="732">
        <f t="shared" si="0"/>
        <v>3913544.9487179518</v>
      </c>
      <c r="E118" s="785">
        <f t="shared" si="5"/>
        <v>170154.12820512822</v>
      </c>
      <c r="F118" s="732">
        <f t="shared" si="1"/>
        <v>3743390.8205128238</v>
      </c>
      <c r="G118" s="790">
        <f t="shared" si="2"/>
        <v>612917.05031931144</v>
      </c>
      <c r="H118" s="791">
        <f t="shared" si="3"/>
        <v>612917.05031931144</v>
      </c>
      <c r="I118" s="788">
        <f t="shared" si="4"/>
        <v>0</v>
      </c>
      <c r="J118" s="788"/>
      <c r="K118" s="808"/>
      <c r="L118" s="792"/>
      <c r="M118" s="808"/>
      <c r="N118" s="792"/>
      <c r="O118" s="792"/>
    </row>
    <row r="119" spans="3:15">
      <c r="C119" s="784">
        <f>IF(D95="","-",+C118+1)</f>
        <v>2030</v>
      </c>
      <c r="D119" s="732">
        <f t="shared" si="0"/>
        <v>3743390.8205128238</v>
      </c>
      <c r="E119" s="785">
        <f t="shared" si="5"/>
        <v>170154.12820512822</v>
      </c>
      <c r="F119" s="732">
        <f t="shared" si="1"/>
        <v>3573236.6923076957</v>
      </c>
      <c r="G119" s="790">
        <f t="shared" si="2"/>
        <v>593238.69822534779</v>
      </c>
      <c r="H119" s="791">
        <f t="shared" si="3"/>
        <v>593238.69822534779</v>
      </c>
      <c r="I119" s="788">
        <f t="shared" si="4"/>
        <v>0</v>
      </c>
      <c r="J119" s="788"/>
      <c r="K119" s="808"/>
      <c r="L119" s="792"/>
      <c r="M119" s="808"/>
      <c r="N119" s="792"/>
      <c r="O119" s="792"/>
    </row>
    <row r="120" spans="3:15">
      <c r="C120" s="784">
        <f>IF(D95="","-",+C119+1)</f>
        <v>2031</v>
      </c>
      <c r="D120" s="732">
        <f t="shared" si="0"/>
        <v>3573236.6923076957</v>
      </c>
      <c r="E120" s="785">
        <f t="shared" si="5"/>
        <v>170154.12820512822</v>
      </c>
      <c r="F120" s="732">
        <f t="shared" si="1"/>
        <v>3403082.5641025677</v>
      </c>
      <c r="G120" s="790">
        <f t="shared" si="2"/>
        <v>573560.34613138414</v>
      </c>
      <c r="H120" s="791">
        <f t="shared" si="3"/>
        <v>573560.34613138414</v>
      </c>
      <c r="I120" s="788">
        <f t="shared" si="4"/>
        <v>0</v>
      </c>
      <c r="J120" s="788"/>
      <c r="K120" s="808"/>
      <c r="L120" s="792"/>
      <c r="M120" s="808"/>
      <c r="N120" s="792"/>
      <c r="O120" s="792"/>
    </row>
    <row r="121" spans="3:15">
      <c r="C121" s="784">
        <f>IF(D95="","-",+C120+1)</f>
        <v>2032</v>
      </c>
      <c r="D121" s="732">
        <f t="shared" si="0"/>
        <v>3403082.5641025677</v>
      </c>
      <c r="E121" s="785">
        <f t="shared" si="5"/>
        <v>170154.12820512822</v>
      </c>
      <c r="F121" s="732">
        <f t="shared" si="1"/>
        <v>3232928.4358974397</v>
      </c>
      <c r="G121" s="790">
        <f t="shared" si="2"/>
        <v>553881.99403742049</v>
      </c>
      <c r="H121" s="791">
        <f t="shared" si="3"/>
        <v>553881.99403742049</v>
      </c>
      <c r="I121" s="788">
        <f t="shared" si="4"/>
        <v>0</v>
      </c>
      <c r="J121" s="788"/>
      <c r="K121" s="808"/>
      <c r="L121" s="792"/>
      <c r="M121" s="808"/>
      <c r="N121" s="792"/>
      <c r="O121" s="792"/>
    </row>
    <row r="122" spans="3:15">
      <c r="C122" s="784">
        <f>IF(D95="","-",+C121+1)</f>
        <v>2033</v>
      </c>
      <c r="D122" s="732">
        <f t="shared" si="0"/>
        <v>3232928.4358974397</v>
      </c>
      <c r="E122" s="785">
        <f t="shared" si="5"/>
        <v>170154.12820512822</v>
      </c>
      <c r="F122" s="732">
        <f t="shared" si="1"/>
        <v>3062774.3076923117</v>
      </c>
      <c r="G122" s="790">
        <f t="shared" si="2"/>
        <v>534203.64194345684</v>
      </c>
      <c r="H122" s="791">
        <f t="shared" si="3"/>
        <v>534203.64194345684</v>
      </c>
      <c r="I122" s="788">
        <f t="shared" si="4"/>
        <v>0</v>
      </c>
      <c r="J122" s="788"/>
      <c r="K122" s="808"/>
      <c r="L122" s="792"/>
      <c r="M122" s="808"/>
      <c r="N122" s="792"/>
      <c r="O122" s="792"/>
    </row>
    <row r="123" spans="3:15">
      <c r="C123" s="784">
        <f>IF(D95="","-",+C122+1)</f>
        <v>2034</v>
      </c>
      <c r="D123" s="732">
        <f t="shared" si="0"/>
        <v>3062774.3076923117</v>
      </c>
      <c r="E123" s="785">
        <f t="shared" si="5"/>
        <v>170154.12820512822</v>
      </c>
      <c r="F123" s="732">
        <f t="shared" si="1"/>
        <v>2892620.1794871837</v>
      </c>
      <c r="G123" s="790">
        <f t="shared" si="2"/>
        <v>514525.28984949319</v>
      </c>
      <c r="H123" s="791">
        <f t="shared" si="3"/>
        <v>514525.28984949319</v>
      </c>
      <c r="I123" s="788">
        <f t="shared" si="4"/>
        <v>0</v>
      </c>
      <c r="J123" s="788"/>
      <c r="K123" s="808"/>
      <c r="L123" s="792"/>
      <c r="M123" s="808"/>
      <c r="N123" s="792"/>
      <c r="O123" s="792"/>
    </row>
    <row r="124" spans="3:15">
      <c r="C124" s="784">
        <f>IF(D95="","-",+C123+1)</f>
        <v>2035</v>
      </c>
      <c r="D124" s="732">
        <f t="shared" si="0"/>
        <v>2892620.1794871837</v>
      </c>
      <c r="E124" s="785">
        <f t="shared" si="5"/>
        <v>170154.12820512822</v>
      </c>
      <c r="F124" s="732">
        <f t="shared" si="1"/>
        <v>2722466.0512820557</v>
      </c>
      <c r="G124" s="790">
        <f t="shared" si="2"/>
        <v>494846.93775552954</v>
      </c>
      <c r="H124" s="791">
        <f t="shared" si="3"/>
        <v>494846.93775552954</v>
      </c>
      <c r="I124" s="788">
        <f t="shared" si="4"/>
        <v>0</v>
      </c>
      <c r="J124" s="788"/>
      <c r="K124" s="808"/>
      <c r="L124" s="792"/>
      <c r="M124" s="808"/>
      <c r="N124" s="792"/>
      <c r="O124" s="792"/>
    </row>
    <row r="125" spans="3:15">
      <c r="C125" s="784">
        <f>IF(D95="","-",+C124+1)</f>
        <v>2036</v>
      </c>
      <c r="D125" s="732">
        <f t="shared" si="0"/>
        <v>2722466.0512820557</v>
      </c>
      <c r="E125" s="785">
        <f t="shared" si="5"/>
        <v>170154.12820512822</v>
      </c>
      <c r="F125" s="732">
        <f t="shared" si="1"/>
        <v>2552311.9230769277</v>
      </c>
      <c r="G125" s="790">
        <f t="shared" si="2"/>
        <v>475168.58566156588</v>
      </c>
      <c r="H125" s="791">
        <f t="shared" si="3"/>
        <v>475168.58566156588</v>
      </c>
      <c r="I125" s="788">
        <f t="shared" si="4"/>
        <v>0</v>
      </c>
      <c r="J125" s="788"/>
      <c r="K125" s="808"/>
      <c r="L125" s="792"/>
      <c r="M125" s="808"/>
      <c r="N125" s="792"/>
      <c r="O125" s="792"/>
    </row>
    <row r="126" spans="3:15">
      <c r="C126" s="784">
        <f>IF(D95="","-",+C125+1)</f>
        <v>2037</v>
      </c>
      <c r="D126" s="732">
        <f t="shared" si="0"/>
        <v>2552311.9230769277</v>
      </c>
      <c r="E126" s="785">
        <f t="shared" si="5"/>
        <v>170154.12820512822</v>
      </c>
      <c r="F126" s="732">
        <f t="shared" si="1"/>
        <v>2382157.7948717996</v>
      </c>
      <c r="G126" s="790">
        <f t="shared" si="2"/>
        <v>455490.23356760212</v>
      </c>
      <c r="H126" s="791">
        <f t="shared" si="3"/>
        <v>455490.23356760212</v>
      </c>
      <c r="I126" s="788">
        <f t="shared" si="4"/>
        <v>0</v>
      </c>
      <c r="J126" s="788"/>
      <c r="K126" s="808"/>
      <c r="L126" s="792"/>
      <c r="M126" s="808"/>
      <c r="N126" s="792"/>
      <c r="O126" s="792"/>
    </row>
    <row r="127" spans="3:15">
      <c r="C127" s="784">
        <f>IF(D95="","-",+C126+1)</f>
        <v>2038</v>
      </c>
      <c r="D127" s="732">
        <f t="shared" si="0"/>
        <v>2382157.7948717996</v>
      </c>
      <c r="E127" s="785">
        <f t="shared" si="5"/>
        <v>170154.12820512822</v>
      </c>
      <c r="F127" s="732">
        <f t="shared" si="1"/>
        <v>2212003.6666666716</v>
      </c>
      <c r="G127" s="790">
        <f t="shared" si="2"/>
        <v>435811.88147363847</v>
      </c>
      <c r="H127" s="791">
        <f t="shared" si="3"/>
        <v>435811.88147363847</v>
      </c>
      <c r="I127" s="788">
        <f t="shared" si="4"/>
        <v>0</v>
      </c>
      <c r="J127" s="788"/>
      <c r="K127" s="808"/>
      <c r="L127" s="792"/>
      <c r="M127" s="808"/>
      <c r="N127" s="792"/>
      <c r="O127" s="792"/>
    </row>
    <row r="128" spans="3:15">
      <c r="C128" s="784">
        <f>IF(D95="","-",+C127+1)</f>
        <v>2039</v>
      </c>
      <c r="D128" s="732">
        <f t="shared" si="0"/>
        <v>2212003.6666666716</v>
      </c>
      <c r="E128" s="785">
        <f t="shared" si="5"/>
        <v>170154.12820512822</v>
      </c>
      <c r="F128" s="732">
        <f t="shared" si="1"/>
        <v>2041849.5384615434</v>
      </c>
      <c r="G128" s="790">
        <f t="shared" si="2"/>
        <v>416133.52937967482</v>
      </c>
      <c r="H128" s="791">
        <f t="shared" si="3"/>
        <v>416133.52937967482</v>
      </c>
      <c r="I128" s="788">
        <f t="shared" si="4"/>
        <v>0</v>
      </c>
      <c r="J128" s="788"/>
      <c r="K128" s="808"/>
      <c r="L128" s="792"/>
      <c r="M128" s="808"/>
      <c r="N128" s="792"/>
      <c r="O128" s="792"/>
    </row>
    <row r="129" spans="3:15">
      <c r="C129" s="784">
        <f>IF(D95="","-",+C128+1)</f>
        <v>2040</v>
      </c>
      <c r="D129" s="732">
        <f t="shared" si="0"/>
        <v>2041849.5384615434</v>
      </c>
      <c r="E129" s="785">
        <f t="shared" si="5"/>
        <v>170154.12820512822</v>
      </c>
      <c r="F129" s="732">
        <f t="shared" si="1"/>
        <v>1871695.4102564151</v>
      </c>
      <c r="G129" s="786">
        <f t="shared" si="2"/>
        <v>396455.17728571116</v>
      </c>
      <c r="H129" s="791">
        <f t="shared" si="3"/>
        <v>396455.17728571116</v>
      </c>
      <c r="I129" s="788">
        <f t="shared" si="4"/>
        <v>0</v>
      </c>
      <c r="J129" s="788"/>
      <c r="K129" s="808"/>
      <c r="L129" s="792"/>
      <c r="M129" s="808"/>
      <c r="N129" s="792"/>
      <c r="O129" s="792"/>
    </row>
    <row r="130" spans="3:15">
      <c r="C130" s="784">
        <f>IF(D95="","-",+C129+1)</f>
        <v>2041</v>
      </c>
      <c r="D130" s="732">
        <f t="shared" si="0"/>
        <v>1871695.4102564151</v>
      </c>
      <c r="E130" s="785">
        <f t="shared" si="5"/>
        <v>170154.12820512822</v>
      </c>
      <c r="F130" s="732">
        <f t="shared" si="1"/>
        <v>1701541.2820512869</v>
      </c>
      <c r="G130" s="790">
        <f t="shared" si="2"/>
        <v>376776.82519174751</v>
      </c>
      <c r="H130" s="791">
        <f t="shared" si="3"/>
        <v>376776.82519174751</v>
      </c>
      <c r="I130" s="788">
        <f t="shared" si="4"/>
        <v>0</v>
      </c>
      <c r="J130" s="788"/>
      <c r="K130" s="808"/>
      <c r="L130" s="792"/>
      <c r="M130" s="808"/>
      <c r="N130" s="792"/>
      <c r="O130" s="792"/>
    </row>
    <row r="131" spans="3:15">
      <c r="C131" s="784">
        <f>IF(D95="","-",+C130+1)</f>
        <v>2042</v>
      </c>
      <c r="D131" s="732">
        <f t="shared" si="0"/>
        <v>1701541.2820512869</v>
      </c>
      <c r="E131" s="785">
        <f t="shared" si="5"/>
        <v>170154.12820512822</v>
      </c>
      <c r="F131" s="732">
        <f t="shared" si="1"/>
        <v>1531387.1538461586</v>
      </c>
      <c r="G131" s="790">
        <f t="shared" si="2"/>
        <v>357098.47309778375</v>
      </c>
      <c r="H131" s="791">
        <f t="shared" si="3"/>
        <v>357098.47309778375</v>
      </c>
      <c r="I131" s="788">
        <f t="shared" si="4"/>
        <v>0</v>
      </c>
      <c r="J131" s="788"/>
      <c r="K131" s="808"/>
      <c r="L131" s="792"/>
      <c r="M131" s="808"/>
      <c r="N131" s="792"/>
      <c r="O131" s="792"/>
    </row>
    <row r="132" spans="3:15">
      <c r="C132" s="784">
        <f>IF(D95="","-",+C131+1)</f>
        <v>2043</v>
      </c>
      <c r="D132" s="732">
        <f t="shared" si="0"/>
        <v>1531387.1538461586</v>
      </c>
      <c r="E132" s="785">
        <f t="shared" si="5"/>
        <v>170154.12820512822</v>
      </c>
      <c r="F132" s="732">
        <f t="shared" si="1"/>
        <v>1361233.0256410304</v>
      </c>
      <c r="G132" s="790">
        <f t="shared" si="2"/>
        <v>337420.1210038201</v>
      </c>
      <c r="H132" s="791">
        <f t="shared" si="3"/>
        <v>337420.1210038201</v>
      </c>
      <c r="I132" s="788">
        <f t="shared" si="4"/>
        <v>0</v>
      </c>
      <c r="J132" s="788"/>
      <c r="K132" s="808"/>
      <c r="L132" s="792"/>
      <c r="M132" s="808"/>
      <c r="N132" s="792"/>
      <c r="O132" s="792"/>
    </row>
    <row r="133" spans="3:15">
      <c r="C133" s="784">
        <f>IF(D95="","-",+C132+1)</f>
        <v>2044</v>
      </c>
      <c r="D133" s="732">
        <f t="shared" si="0"/>
        <v>1361233.0256410304</v>
      </c>
      <c r="E133" s="785">
        <f t="shared" si="5"/>
        <v>170154.12820512822</v>
      </c>
      <c r="F133" s="732">
        <f t="shared" si="1"/>
        <v>1191078.8974359022</v>
      </c>
      <c r="G133" s="790">
        <f t="shared" si="2"/>
        <v>317741.76890985639</v>
      </c>
      <c r="H133" s="791">
        <f t="shared" si="3"/>
        <v>317741.76890985639</v>
      </c>
      <c r="I133" s="788">
        <f t="shared" si="4"/>
        <v>0</v>
      </c>
      <c r="J133" s="788"/>
      <c r="K133" s="808"/>
      <c r="L133" s="792"/>
      <c r="M133" s="808"/>
      <c r="N133" s="792"/>
      <c r="O133" s="792"/>
    </row>
    <row r="134" spans="3:15">
      <c r="C134" s="784">
        <f>IF(D95="","-",+C133+1)</f>
        <v>2045</v>
      </c>
      <c r="D134" s="732">
        <f t="shared" si="0"/>
        <v>1191078.8974359022</v>
      </c>
      <c r="E134" s="785">
        <f t="shared" si="5"/>
        <v>170154.12820512822</v>
      </c>
      <c r="F134" s="732">
        <f t="shared" si="1"/>
        <v>1020924.7692307739</v>
      </c>
      <c r="G134" s="790">
        <f t="shared" si="2"/>
        <v>298063.41681589274</v>
      </c>
      <c r="H134" s="791">
        <f t="shared" si="3"/>
        <v>298063.41681589274</v>
      </c>
      <c r="I134" s="788">
        <f t="shared" si="4"/>
        <v>0</v>
      </c>
      <c r="J134" s="788"/>
      <c r="K134" s="808"/>
      <c r="L134" s="792"/>
      <c r="M134" s="808"/>
      <c r="N134" s="792"/>
      <c r="O134" s="792"/>
    </row>
    <row r="135" spans="3:15">
      <c r="C135" s="784">
        <f>IF(D95="","-",+C134+1)</f>
        <v>2046</v>
      </c>
      <c r="D135" s="732">
        <f t="shared" si="0"/>
        <v>1020924.7692307739</v>
      </c>
      <c r="E135" s="785">
        <f t="shared" si="5"/>
        <v>170154.12820512822</v>
      </c>
      <c r="F135" s="732">
        <f t="shared" si="1"/>
        <v>850770.64102564566</v>
      </c>
      <c r="G135" s="790">
        <f t="shared" si="2"/>
        <v>278385.06472192903</v>
      </c>
      <c r="H135" s="791">
        <f t="shared" si="3"/>
        <v>278385.06472192903</v>
      </c>
      <c r="I135" s="788">
        <f t="shared" si="4"/>
        <v>0</v>
      </c>
      <c r="J135" s="788"/>
      <c r="K135" s="808"/>
      <c r="L135" s="792"/>
      <c r="M135" s="808"/>
      <c r="N135" s="792"/>
      <c r="O135" s="792"/>
    </row>
    <row r="136" spans="3:15">
      <c r="C136" s="784">
        <f>IF(D95="","-",+C135+1)</f>
        <v>2047</v>
      </c>
      <c r="D136" s="732">
        <f t="shared" si="0"/>
        <v>850770.64102564566</v>
      </c>
      <c r="E136" s="785">
        <f t="shared" si="5"/>
        <v>170154.12820512822</v>
      </c>
      <c r="F136" s="732">
        <f t="shared" si="1"/>
        <v>680616.51282051741</v>
      </c>
      <c r="G136" s="790">
        <f t="shared" si="2"/>
        <v>258706.71262796532</v>
      </c>
      <c r="H136" s="791">
        <f t="shared" si="3"/>
        <v>258706.71262796532</v>
      </c>
      <c r="I136" s="788">
        <f t="shared" si="4"/>
        <v>0</v>
      </c>
      <c r="J136" s="788"/>
      <c r="K136" s="808"/>
      <c r="L136" s="792"/>
      <c r="M136" s="808"/>
      <c r="N136" s="792"/>
      <c r="O136" s="792"/>
    </row>
    <row r="137" spans="3:15">
      <c r="C137" s="784">
        <f>IF(D95="","-",+C136+1)</f>
        <v>2048</v>
      </c>
      <c r="D137" s="732">
        <f t="shared" si="0"/>
        <v>680616.51282051741</v>
      </c>
      <c r="E137" s="785">
        <f t="shared" si="5"/>
        <v>170154.12820512822</v>
      </c>
      <c r="F137" s="732">
        <f t="shared" si="1"/>
        <v>510462.38461538916</v>
      </c>
      <c r="G137" s="790">
        <f t="shared" si="2"/>
        <v>239028.36053400164</v>
      </c>
      <c r="H137" s="791">
        <f t="shared" si="3"/>
        <v>239028.36053400164</v>
      </c>
      <c r="I137" s="788">
        <f t="shared" si="4"/>
        <v>0</v>
      </c>
      <c r="J137" s="788"/>
      <c r="K137" s="808"/>
      <c r="L137" s="792"/>
      <c r="M137" s="808"/>
      <c r="N137" s="792"/>
      <c r="O137" s="792"/>
    </row>
    <row r="138" spans="3:15">
      <c r="C138" s="784">
        <f>IF(D95="","-",+C137+1)</f>
        <v>2049</v>
      </c>
      <c r="D138" s="732">
        <f t="shared" si="0"/>
        <v>510462.38461538916</v>
      </c>
      <c r="E138" s="785">
        <f t="shared" si="5"/>
        <v>170154.12820512822</v>
      </c>
      <c r="F138" s="732">
        <f t="shared" si="1"/>
        <v>340308.25641026092</v>
      </c>
      <c r="G138" s="790">
        <f t="shared" si="2"/>
        <v>219350.00844003796</v>
      </c>
      <c r="H138" s="791">
        <f t="shared" si="3"/>
        <v>219350.00844003796</v>
      </c>
      <c r="I138" s="788">
        <f t="shared" si="4"/>
        <v>0</v>
      </c>
      <c r="J138" s="788"/>
      <c r="K138" s="808"/>
      <c r="L138" s="792"/>
      <c r="M138" s="808"/>
      <c r="N138" s="792"/>
      <c r="O138" s="792"/>
    </row>
    <row r="139" spans="3:15">
      <c r="C139" s="784">
        <f>IF(D95="","-",+C138+1)</f>
        <v>2050</v>
      </c>
      <c r="D139" s="732">
        <f t="shared" si="0"/>
        <v>340308.25641026092</v>
      </c>
      <c r="E139" s="785">
        <f t="shared" si="5"/>
        <v>170154.12820512822</v>
      </c>
      <c r="F139" s="732">
        <f t="shared" si="1"/>
        <v>170154.1282051327</v>
      </c>
      <c r="G139" s="790">
        <f t="shared" si="2"/>
        <v>199671.65634607425</v>
      </c>
      <c r="H139" s="791">
        <f t="shared" si="3"/>
        <v>199671.65634607425</v>
      </c>
      <c r="I139" s="788">
        <f t="shared" si="4"/>
        <v>0</v>
      </c>
      <c r="J139" s="788"/>
      <c r="K139" s="808"/>
      <c r="L139" s="792"/>
      <c r="M139" s="808"/>
      <c r="N139" s="792"/>
      <c r="O139" s="792"/>
    </row>
    <row r="140" spans="3:15">
      <c r="C140" s="784">
        <f>IF(D95="","-",+C139+1)</f>
        <v>2051</v>
      </c>
      <c r="D140" s="732">
        <f t="shared" si="0"/>
        <v>170154.1282051327</v>
      </c>
      <c r="E140" s="785">
        <f t="shared" si="5"/>
        <v>170154.12820512822</v>
      </c>
      <c r="F140" s="732">
        <f t="shared" si="1"/>
        <v>4.4819898903369904E-9</v>
      </c>
      <c r="G140" s="790">
        <f t="shared" si="2"/>
        <v>179993.30425211057</v>
      </c>
      <c r="H140" s="791">
        <f t="shared" si="3"/>
        <v>179993.30425211057</v>
      </c>
      <c r="I140" s="788">
        <f t="shared" si="4"/>
        <v>0</v>
      </c>
      <c r="J140" s="788"/>
      <c r="K140" s="808"/>
      <c r="L140" s="792"/>
      <c r="M140" s="808"/>
      <c r="N140" s="792"/>
      <c r="O140" s="792"/>
    </row>
    <row r="141" spans="3:15">
      <c r="C141" s="784">
        <f>IF(D95="","-",+C140+1)</f>
        <v>2052</v>
      </c>
      <c r="D141" s="732">
        <f t="shared" si="0"/>
        <v>4.4819898903369904E-9</v>
      </c>
      <c r="E141" s="785">
        <f t="shared" si="5"/>
        <v>4.4819898903369904E-9</v>
      </c>
      <c r="F141" s="732">
        <f t="shared" si="1"/>
        <v>0</v>
      </c>
      <c r="G141" s="790">
        <f t="shared" si="2"/>
        <v>4.7411613135460414E-9</v>
      </c>
      <c r="H141" s="791">
        <f t="shared" si="3"/>
        <v>4.7411613135460414E-9</v>
      </c>
      <c r="I141" s="788">
        <f t="shared" si="4"/>
        <v>0</v>
      </c>
      <c r="J141" s="788"/>
      <c r="K141" s="808"/>
      <c r="L141" s="792"/>
      <c r="M141" s="808"/>
      <c r="N141" s="792"/>
      <c r="O141" s="792"/>
    </row>
    <row r="142" spans="3:15">
      <c r="C142" s="784">
        <f>IF(D95="","-",+C141+1)</f>
        <v>2053</v>
      </c>
      <c r="D142" s="732">
        <f t="shared" si="0"/>
        <v>0</v>
      </c>
      <c r="E142" s="785">
        <f t="shared" si="5"/>
        <v>0</v>
      </c>
      <c r="F142" s="732">
        <f t="shared" si="1"/>
        <v>0</v>
      </c>
      <c r="G142" s="790">
        <f t="shared" si="2"/>
        <v>0</v>
      </c>
      <c r="H142" s="791">
        <f t="shared" si="3"/>
        <v>0</v>
      </c>
      <c r="I142" s="788">
        <f t="shared" si="4"/>
        <v>0</v>
      </c>
      <c r="J142" s="788"/>
      <c r="K142" s="808"/>
      <c r="L142" s="792"/>
      <c r="M142" s="808"/>
      <c r="N142" s="792"/>
      <c r="O142" s="792"/>
    </row>
    <row r="143" spans="3:15">
      <c r="C143" s="784">
        <f>IF(D95="","-",+C142+1)</f>
        <v>2054</v>
      </c>
      <c r="D143" s="732">
        <f t="shared" si="0"/>
        <v>0</v>
      </c>
      <c r="E143" s="785">
        <f t="shared" si="5"/>
        <v>0</v>
      </c>
      <c r="F143" s="732">
        <f t="shared" si="1"/>
        <v>0</v>
      </c>
      <c r="G143" s="790">
        <f t="shared" si="2"/>
        <v>0</v>
      </c>
      <c r="H143" s="791">
        <f t="shared" si="3"/>
        <v>0</v>
      </c>
      <c r="I143" s="788">
        <f t="shared" si="4"/>
        <v>0</v>
      </c>
      <c r="J143" s="788"/>
      <c r="K143" s="808"/>
      <c r="L143" s="792"/>
      <c r="M143" s="808"/>
      <c r="N143" s="792"/>
      <c r="O143" s="792"/>
    </row>
    <row r="144" spans="3:15">
      <c r="C144" s="784">
        <f>IF(D95="","-",+C143+1)</f>
        <v>2055</v>
      </c>
      <c r="D144" s="732">
        <f t="shared" si="0"/>
        <v>0</v>
      </c>
      <c r="E144" s="785">
        <f t="shared" si="5"/>
        <v>0</v>
      </c>
      <c r="F144" s="732">
        <f t="shared" si="1"/>
        <v>0</v>
      </c>
      <c r="G144" s="790">
        <f t="shared" si="2"/>
        <v>0</v>
      </c>
      <c r="H144" s="791">
        <f t="shared" si="3"/>
        <v>0</v>
      </c>
      <c r="I144" s="788">
        <f t="shared" si="4"/>
        <v>0</v>
      </c>
      <c r="J144" s="788"/>
      <c r="K144" s="808"/>
      <c r="L144" s="792"/>
      <c r="M144" s="808"/>
      <c r="N144" s="792"/>
      <c r="O144" s="792"/>
    </row>
    <row r="145" spans="3:15">
      <c r="C145" s="784">
        <f>IF(D95="","-",+C144+1)</f>
        <v>2056</v>
      </c>
      <c r="D145" s="732">
        <f t="shared" si="0"/>
        <v>0</v>
      </c>
      <c r="E145" s="785">
        <f t="shared" si="5"/>
        <v>0</v>
      </c>
      <c r="F145" s="732">
        <f t="shared" si="1"/>
        <v>0</v>
      </c>
      <c r="G145" s="790">
        <f t="shared" si="2"/>
        <v>0</v>
      </c>
      <c r="H145" s="791">
        <f t="shared" si="3"/>
        <v>0</v>
      </c>
      <c r="I145" s="788">
        <f t="shared" si="4"/>
        <v>0</v>
      </c>
      <c r="J145" s="788"/>
      <c r="K145" s="808"/>
      <c r="L145" s="792"/>
      <c r="M145" s="808"/>
      <c r="N145" s="792"/>
      <c r="O145" s="792"/>
    </row>
    <row r="146" spans="3:15">
      <c r="C146" s="784">
        <f>IF(D95="","-",+C145+1)</f>
        <v>2057</v>
      </c>
      <c r="D146" s="732">
        <f t="shared" si="0"/>
        <v>0</v>
      </c>
      <c r="E146" s="785">
        <f t="shared" si="5"/>
        <v>0</v>
      </c>
      <c r="F146" s="732">
        <f t="shared" si="1"/>
        <v>0</v>
      </c>
      <c r="G146" s="790">
        <f t="shared" si="2"/>
        <v>0</v>
      </c>
      <c r="H146" s="791">
        <f t="shared" si="3"/>
        <v>0</v>
      </c>
      <c r="I146" s="788">
        <f t="shared" si="4"/>
        <v>0</v>
      </c>
      <c r="J146" s="788"/>
      <c r="K146" s="808"/>
      <c r="L146" s="792"/>
      <c r="M146" s="808"/>
      <c r="N146" s="792"/>
      <c r="O146" s="792"/>
    </row>
    <row r="147" spans="3:15">
      <c r="C147" s="784">
        <f>IF(D95="","-",+C146+1)</f>
        <v>2058</v>
      </c>
      <c r="D147" s="732">
        <f t="shared" si="0"/>
        <v>0</v>
      </c>
      <c r="E147" s="785">
        <f t="shared" si="5"/>
        <v>0</v>
      </c>
      <c r="F147" s="732">
        <f t="shared" si="1"/>
        <v>0</v>
      </c>
      <c r="G147" s="790">
        <f t="shared" si="2"/>
        <v>0</v>
      </c>
      <c r="H147" s="791">
        <f t="shared" si="3"/>
        <v>0</v>
      </c>
      <c r="I147" s="788">
        <f t="shared" si="4"/>
        <v>0</v>
      </c>
      <c r="J147" s="788"/>
      <c r="K147" s="808"/>
      <c r="L147" s="792"/>
      <c r="M147" s="808"/>
      <c r="N147" s="792"/>
      <c r="O147" s="792"/>
    </row>
    <row r="148" spans="3:15">
      <c r="C148" s="784">
        <f>IF(D95="","-",+C147+1)</f>
        <v>2059</v>
      </c>
      <c r="D148" s="732">
        <f t="shared" si="0"/>
        <v>0</v>
      </c>
      <c r="E148" s="785">
        <f t="shared" si="5"/>
        <v>0</v>
      </c>
      <c r="F148" s="732">
        <f t="shared" si="1"/>
        <v>0</v>
      </c>
      <c r="G148" s="790">
        <f t="shared" si="2"/>
        <v>0</v>
      </c>
      <c r="H148" s="791">
        <f t="shared" si="3"/>
        <v>0</v>
      </c>
      <c r="I148" s="788">
        <f t="shared" si="4"/>
        <v>0</v>
      </c>
      <c r="J148" s="788"/>
      <c r="K148" s="808"/>
      <c r="L148" s="792"/>
      <c r="M148" s="808"/>
      <c r="N148" s="792"/>
      <c r="O148" s="792"/>
    </row>
    <row r="149" spans="3:15">
      <c r="C149" s="784">
        <f>IF(D95="","-",+C148+1)</f>
        <v>2060</v>
      </c>
      <c r="D149" s="732">
        <f t="shared" si="0"/>
        <v>0</v>
      </c>
      <c r="E149" s="785">
        <f t="shared" si="5"/>
        <v>0</v>
      </c>
      <c r="F149" s="732">
        <f t="shared" si="1"/>
        <v>0</v>
      </c>
      <c r="G149" s="790">
        <f t="shared" si="2"/>
        <v>0</v>
      </c>
      <c r="H149" s="791">
        <f t="shared" si="3"/>
        <v>0</v>
      </c>
      <c r="I149" s="788">
        <f t="shared" si="4"/>
        <v>0</v>
      </c>
      <c r="J149" s="788"/>
      <c r="K149" s="808"/>
      <c r="L149" s="792"/>
      <c r="M149" s="808"/>
      <c r="N149" s="792"/>
      <c r="O149" s="792"/>
    </row>
    <row r="150" spans="3:15">
      <c r="C150" s="784">
        <f>IF(D95="","-",+C149+1)</f>
        <v>2061</v>
      </c>
      <c r="D150" s="732">
        <f t="shared" si="0"/>
        <v>0</v>
      </c>
      <c r="E150" s="785">
        <f t="shared" si="5"/>
        <v>0</v>
      </c>
      <c r="F150" s="732">
        <f t="shared" si="1"/>
        <v>0</v>
      </c>
      <c r="G150" s="790">
        <f t="shared" si="2"/>
        <v>0</v>
      </c>
      <c r="H150" s="791">
        <f t="shared" si="3"/>
        <v>0</v>
      </c>
      <c r="I150" s="788">
        <f t="shared" si="4"/>
        <v>0</v>
      </c>
      <c r="J150" s="788"/>
      <c r="K150" s="808"/>
      <c r="L150" s="792"/>
      <c r="M150" s="808"/>
      <c r="N150" s="792"/>
      <c r="O150" s="792"/>
    </row>
    <row r="151" spans="3:15">
      <c r="C151" s="784">
        <f>IF(D95="","-",+C150+1)</f>
        <v>2062</v>
      </c>
      <c r="D151" s="732">
        <f t="shared" si="0"/>
        <v>0</v>
      </c>
      <c r="E151" s="785">
        <f t="shared" si="5"/>
        <v>0</v>
      </c>
      <c r="F151" s="732">
        <f t="shared" si="1"/>
        <v>0</v>
      </c>
      <c r="G151" s="790">
        <f t="shared" si="2"/>
        <v>0</v>
      </c>
      <c r="H151" s="791">
        <f t="shared" si="3"/>
        <v>0</v>
      </c>
      <c r="I151" s="788">
        <f t="shared" si="4"/>
        <v>0</v>
      </c>
      <c r="J151" s="788"/>
      <c r="K151" s="808"/>
      <c r="L151" s="792"/>
      <c r="M151" s="808"/>
      <c r="N151" s="792"/>
      <c r="O151" s="792"/>
    </row>
    <row r="152" spans="3:15">
      <c r="C152" s="784">
        <f>IF(D95="","-",+C151+1)</f>
        <v>2063</v>
      </c>
      <c r="D152" s="732">
        <f t="shared" si="0"/>
        <v>0</v>
      </c>
      <c r="E152" s="785">
        <f t="shared" si="5"/>
        <v>0</v>
      </c>
      <c r="F152" s="732">
        <f t="shared" si="1"/>
        <v>0</v>
      </c>
      <c r="G152" s="790">
        <f t="shared" si="2"/>
        <v>0</v>
      </c>
      <c r="H152" s="791">
        <f t="shared" si="3"/>
        <v>0</v>
      </c>
      <c r="I152" s="788">
        <f t="shared" si="4"/>
        <v>0</v>
      </c>
      <c r="J152" s="788"/>
      <c r="K152" s="808"/>
      <c r="L152" s="792"/>
      <c r="M152" s="808"/>
      <c r="N152" s="792"/>
      <c r="O152" s="792"/>
    </row>
    <row r="153" spans="3:15">
      <c r="C153" s="784">
        <f>IF(D95="","-",+C152+1)</f>
        <v>2064</v>
      </c>
      <c r="D153" s="732">
        <f t="shared" si="0"/>
        <v>0</v>
      </c>
      <c r="E153" s="785">
        <f t="shared" si="5"/>
        <v>0</v>
      </c>
      <c r="F153" s="732">
        <f t="shared" si="1"/>
        <v>0</v>
      </c>
      <c r="G153" s="790">
        <f t="shared" si="2"/>
        <v>0</v>
      </c>
      <c r="H153" s="791">
        <f t="shared" si="3"/>
        <v>0</v>
      </c>
      <c r="I153" s="788">
        <f t="shared" si="4"/>
        <v>0</v>
      </c>
      <c r="J153" s="788"/>
      <c r="K153" s="808"/>
      <c r="L153" s="792"/>
      <c r="M153" s="808"/>
      <c r="N153" s="792"/>
      <c r="O153" s="792"/>
    </row>
    <row r="154" spans="3:15">
      <c r="C154" s="784">
        <f>IF(D95="","-",+C153+1)</f>
        <v>2065</v>
      </c>
      <c r="D154" s="732">
        <f t="shared" si="0"/>
        <v>0</v>
      </c>
      <c r="E154" s="785">
        <f t="shared" si="5"/>
        <v>0</v>
      </c>
      <c r="F154" s="732">
        <f t="shared" si="1"/>
        <v>0</v>
      </c>
      <c r="G154" s="790">
        <f t="shared" si="2"/>
        <v>0</v>
      </c>
      <c r="H154" s="791">
        <f t="shared" si="3"/>
        <v>0</v>
      </c>
      <c r="I154" s="788">
        <f t="shared" si="4"/>
        <v>0</v>
      </c>
      <c r="J154" s="788"/>
      <c r="K154" s="808"/>
      <c r="L154" s="792"/>
      <c r="M154" s="808"/>
      <c r="N154" s="792"/>
      <c r="O154" s="792"/>
    </row>
    <row r="155" spans="3:15">
      <c r="C155" s="784">
        <f>IF(D95="","-",+C154+1)</f>
        <v>2066</v>
      </c>
      <c r="D155" s="732">
        <f t="shared" si="0"/>
        <v>0</v>
      </c>
      <c r="E155" s="785">
        <f t="shared" si="5"/>
        <v>0</v>
      </c>
      <c r="F155" s="732">
        <f t="shared" si="1"/>
        <v>0</v>
      </c>
      <c r="G155" s="790">
        <f t="shared" si="2"/>
        <v>0</v>
      </c>
      <c r="H155" s="791">
        <f t="shared" si="3"/>
        <v>0</v>
      </c>
      <c r="I155" s="788">
        <f t="shared" si="4"/>
        <v>0</v>
      </c>
      <c r="J155" s="788"/>
      <c r="K155" s="808"/>
      <c r="L155" s="792"/>
      <c r="M155" s="808"/>
      <c r="N155" s="792"/>
      <c r="O155" s="792"/>
    </row>
    <row r="156" spans="3:15">
      <c r="C156" s="784">
        <f>IF(D95="","-",+C155+1)</f>
        <v>2067</v>
      </c>
      <c r="D156" s="732">
        <f t="shared" si="0"/>
        <v>0</v>
      </c>
      <c r="E156" s="785">
        <f t="shared" si="5"/>
        <v>0</v>
      </c>
      <c r="F156" s="732">
        <f t="shared" si="1"/>
        <v>0</v>
      </c>
      <c r="G156" s="790">
        <f t="shared" si="2"/>
        <v>0</v>
      </c>
      <c r="H156" s="791">
        <f t="shared" si="3"/>
        <v>0</v>
      </c>
      <c r="I156" s="788">
        <f t="shared" si="4"/>
        <v>0</v>
      </c>
      <c r="J156" s="788"/>
      <c r="K156" s="808"/>
      <c r="L156" s="792"/>
      <c r="M156" s="808"/>
      <c r="N156" s="792"/>
      <c r="O156" s="792"/>
    </row>
    <row r="157" spans="3:15">
      <c r="C157" s="784">
        <f>IF(D95="","-",+C156+1)</f>
        <v>2068</v>
      </c>
      <c r="D157" s="732">
        <f t="shared" si="0"/>
        <v>0</v>
      </c>
      <c r="E157" s="785">
        <f t="shared" si="5"/>
        <v>0</v>
      </c>
      <c r="F157" s="732">
        <f t="shared" si="1"/>
        <v>0</v>
      </c>
      <c r="G157" s="790">
        <f t="shared" si="2"/>
        <v>0</v>
      </c>
      <c r="H157" s="791">
        <f t="shared" si="3"/>
        <v>0</v>
      </c>
      <c r="I157" s="788">
        <f t="shared" si="4"/>
        <v>0</v>
      </c>
      <c r="J157" s="788"/>
      <c r="K157" s="808"/>
      <c r="L157" s="792"/>
      <c r="M157" s="808"/>
      <c r="N157" s="792"/>
      <c r="O157" s="792"/>
    </row>
    <row r="158" spans="3:15">
      <c r="C158" s="784">
        <f>IF(D95="","-",+C157+1)</f>
        <v>2069</v>
      </c>
      <c r="D158" s="732">
        <f t="shared" si="0"/>
        <v>0</v>
      </c>
      <c r="E158" s="785">
        <f t="shared" si="5"/>
        <v>0</v>
      </c>
      <c r="F158" s="732">
        <f t="shared" si="1"/>
        <v>0</v>
      </c>
      <c r="G158" s="790">
        <f t="shared" si="2"/>
        <v>0</v>
      </c>
      <c r="H158" s="791">
        <f t="shared" si="3"/>
        <v>0</v>
      </c>
      <c r="I158" s="788">
        <f t="shared" si="4"/>
        <v>0</v>
      </c>
      <c r="J158" s="788"/>
      <c r="K158" s="808"/>
      <c r="L158" s="792"/>
      <c r="M158" s="808"/>
      <c r="N158" s="792"/>
      <c r="O158" s="792"/>
    </row>
    <row r="159" spans="3:15">
      <c r="C159" s="784">
        <f>IF(D95="","-",+C158+1)</f>
        <v>2070</v>
      </c>
      <c r="D159" s="732">
        <f t="shared" si="0"/>
        <v>0</v>
      </c>
      <c r="E159" s="785">
        <f t="shared" si="5"/>
        <v>0</v>
      </c>
      <c r="F159" s="732">
        <f t="shared" si="1"/>
        <v>0</v>
      </c>
      <c r="G159" s="790">
        <f t="shared" si="2"/>
        <v>0</v>
      </c>
      <c r="H159" s="791">
        <f t="shared" si="3"/>
        <v>0</v>
      </c>
      <c r="I159" s="788">
        <f t="shared" si="4"/>
        <v>0</v>
      </c>
      <c r="J159" s="788"/>
      <c r="K159" s="808"/>
      <c r="L159" s="792"/>
      <c r="M159" s="808"/>
      <c r="N159" s="792"/>
      <c r="O159" s="792"/>
    </row>
    <row r="160" spans="3:15" ht="13.5" thickBot="1">
      <c r="C160" s="794">
        <f>IF(D95="","-",+C159+1)</f>
        <v>2071</v>
      </c>
      <c r="D160" s="795">
        <f t="shared" si="0"/>
        <v>0</v>
      </c>
      <c r="E160" s="796">
        <f t="shared" si="5"/>
        <v>0</v>
      </c>
      <c r="F160" s="795">
        <f t="shared" si="1"/>
        <v>0</v>
      </c>
      <c r="G160" s="797">
        <f t="shared" si="2"/>
        <v>0</v>
      </c>
      <c r="H160" s="797">
        <f t="shared" si="3"/>
        <v>0</v>
      </c>
      <c r="I160" s="798">
        <f t="shared" si="4"/>
        <v>0</v>
      </c>
      <c r="J160" s="788"/>
      <c r="K160" s="809"/>
      <c r="L160" s="799"/>
      <c r="M160" s="809"/>
      <c r="N160" s="799"/>
      <c r="O160" s="799"/>
    </row>
    <row r="161" spans="1:16">
      <c r="C161" s="732" t="s">
        <v>93</v>
      </c>
      <c r="D161" s="726"/>
      <c r="E161" s="726">
        <f>SUM(E101:E160)</f>
        <v>6636011</v>
      </c>
      <c r="F161" s="726"/>
      <c r="G161" s="726">
        <f>SUM(G101:G160)</f>
        <v>22368853.499123983</v>
      </c>
      <c r="H161" s="726">
        <f>SUM(H101:H160)</f>
        <v>22368853.499123983</v>
      </c>
      <c r="I161" s="726">
        <f>SUM(I101:I160)</f>
        <v>0</v>
      </c>
      <c r="J161" s="726"/>
      <c r="K161" s="726"/>
      <c r="L161" s="726"/>
      <c r="M161" s="726"/>
      <c r="N161" s="726"/>
      <c r="O161" s="313"/>
    </row>
    <row r="162" spans="1:16">
      <c r="D162" s="534"/>
      <c r="E162" s="313"/>
      <c r="F162" s="313"/>
      <c r="G162" s="313"/>
      <c r="H162" s="704"/>
      <c r="I162" s="704"/>
      <c r="J162" s="726"/>
      <c r="K162" s="704"/>
      <c r="L162" s="704"/>
      <c r="M162" s="704"/>
      <c r="N162" s="704"/>
      <c r="O162" s="313"/>
    </row>
    <row r="163" spans="1:16">
      <c r="C163" s="313" t="s">
        <v>15</v>
      </c>
      <c r="D163" s="534"/>
      <c r="E163" s="313"/>
      <c r="F163" s="313"/>
      <c r="G163" s="313"/>
      <c r="H163" s="704"/>
      <c r="I163" s="704"/>
      <c r="J163" s="726"/>
      <c r="K163" s="704"/>
      <c r="L163" s="704"/>
      <c r="M163" s="704"/>
      <c r="N163" s="704"/>
      <c r="O163" s="313"/>
    </row>
    <row r="164" spans="1:16">
      <c r="C164" s="313"/>
      <c r="D164" s="534"/>
      <c r="E164" s="313"/>
      <c r="F164" s="313"/>
      <c r="G164" s="313"/>
      <c r="H164" s="704"/>
      <c r="I164" s="704"/>
      <c r="J164" s="726"/>
      <c r="K164" s="704"/>
      <c r="L164" s="704"/>
      <c r="M164" s="704"/>
      <c r="N164" s="704"/>
      <c r="O164" s="313"/>
    </row>
    <row r="165" spans="1:16">
      <c r="C165" s="745" t="s">
        <v>16</v>
      </c>
      <c r="D165" s="732"/>
      <c r="E165" s="732"/>
      <c r="F165" s="732"/>
      <c r="G165" s="726"/>
      <c r="H165" s="726"/>
      <c r="I165" s="800"/>
      <c r="J165" s="800"/>
      <c r="K165" s="800"/>
      <c r="L165" s="800"/>
      <c r="M165" s="800"/>
      <c r="N165" s="800"/>
      <c r="O165" s="313"/>
    </row>
    <row r="166" spans="1:16">
      <c r="C166" s="731" t="s">
        <v>273</v>
      </c>
      <c r="D166" s="732"/>
      <c r="E166" s="732"/>
      <c r="F166" s="732"/>
      <c r="G166" s="726"/>
      <c r="H166" s="726"/>
      <c r="I166" s="800"/>
      <c r="J166" s="800"/>
      <c r="K166" s="800"/>
      <c r="L166" s="800"/>
      <c r="M166" s="800"/>
      <c r="N166" s="800"/>
      <c r="O166" s="313"/>
    </row>
    <row r="167" spans="1:16">
      <c r="C167" s="731" t="s">
        <v>94</v>
      </c>
      <c r="D167" s="732"/>
      <c r="E167" s="732"/>
      <c r="F167" s="732"/>
      <c r="G167" s="726"/>
      <c r="H167" s="726"/>
      <c r="I167" s="800"/>
      <c r="J167" s="800"/>
      <c r="K167" s="800"/>
      <c r="L167" s="800"/>
      <c r="M167" s="800"/>
      <c r="N167" s="800"/>
      <c r="O167" s="313"/>
    </row>
    <row r="168" spans="1:16">
      <c r="C168" s="731"/>
      <c r="D168" s="732"/>
      <c r="E168" s="732"/>
      <c r="F168" s="732"/>
      <c r="G168" s="726"/>
      <c r="H168" s="726"/>
      <c r="I168" s="800"/>
      <c r="J168" s="800"/>
      <c r="K168" s="800"/>
      <c r="L168" s="800"/>
      <c r="M168" s="800"/>
      <c r="N168" s="800"/>
      <c r="O168" s="313"/>
    </row>
    <row r="169" spans="1:16">
      <c r="C169" s="1556" t="s">
        <v>8</v>
      </c>
      <c r="D169" s="1556"/>
      <c r="E169" s="1556"/>
      <c r="F169" s="1556"/>
      <c r="G169" s="1556"/>
      <c r="H169" s="1556"/>
      <c r="I169" s="1556"/>
      <c r="J169" s="1556"/>
      <c r="K169" s="1556"/>
      <c r="L169" s="1556"/>
      <c r="M169" s="1556"/>
      <c r="N169" s="1556"/>
      <c r="O169" s="1556"/>
    </row>
    <row r="170" spans="1:16">
      <c r="C170" s="1556"/>
      <c r="D170" s="1556"/>
      <c r="E170" s="1556"/>
      <c r="F170" s="1556"/>
      <c r="G170" s="1556"/>
      <c r="H170" s="1556"/>
      <c r="I170" s="1556"/>
      <c r="J170" s="1556"/>
      <c r="K170" s="1556"/>
      <c r="L170" s="1556"/>
      <c r="M170" s="1556"/>
      <c r="N170" s="1556"/>
      <c r="O170" s="1556"/>
    </row>
    <row r="171" spans="1:16">
      <c r="C171" s="731"/>
      <c r="D171" s="732"/>
      <c r="E171" s="732"/>
      <c r="F171" s="732"/>
      <c r="G171" s="726"/>
      <c r="H171" s="726"/>
    </row>
    <row r="172" spans="1:16" ht="20.25">
      <c r="A172" s="733" t="str">
        <f>""&amp;A96&amp;" Worksheet J -  ATRR PROJECTED Calculation for PJM Projects Charged to Benefiting Zones"</f>
        <v xml:space="preserve"> Worksheet J -  ATRR PROJECTED Calculation for PJM Projects Charged to Benefiting Zones</v>
      </c>
      <c r="B172" s="346"/>
      <c r="C172" s="721"/>
      <c r="D172" s="534"/>
      <c r="E172" s="313"/>
      <c r="F172" s="703"/>
      <c r="G172" s="313"/>
      <c r="H172" s="704"/>
      <c r="K172" s="560"/>
      <c r="L172" s="560"/>
      <c r="M172" s="560"/>
      <c r="N172" s="649" t="str">
        <f>"Page "&amp;SUM(P$8:P172)&amp;" of "</f>
        <v xml:space="preserve">Page 3 of </v>
      </c>
      <c r="O172" s="650">
        <f>COUNT(P$8:P$56656)</f>
        <v>11</v>
      </c>
      <c r="P172" s="173">
        <v>1</v>
      </c>
    </row>
    <row r="173" spans="1:16">
      <c r="B173" s="346"/>
      <c r="C173" s="313"/>
      <c r="D173" s="534"/>
      <c r="E173" s="313"/>
      <c r="F173" s="313"/>
      <c r="G173" s="313"/>
      <c r="H173" s="704"/>
      <c r="I173" s="313"/>
      <c r="J173" s="423"/>
      <c r="K173" s="313"/>
      <c r="L173" s="313"/>
      <c r="M173" s="313"/>
      <c r="N173" s="313"/>
      <c r="O173" s="313"/>
    </row>
    <row r="174" spans="1:16" ht="18">
      <c r="B174" s="653" t="s">
        <v>474</v>
      </c>
      <c r="C174" s="735" t="s">
        <v>95</v>
      </c>
      <c r="D174" s="534"/>
      <c r="E174" s="313"/>
      <c r="F174" s="313"/>
      <c r="G174" s="313"/>
      <c r="H174" s="704"/>
      <c r="I174" s="704"/>
      <c r="J174" s="726"/>
      <c r="K174" s="704"/>
      <c r="L174" s="704"/>
      <c r="M174" s="704"/>
      <c r="N174" s="704"/>
      <c r="O174" s="313"/>
    </row>
    <row r="175" spans="1:16" ht="18.75">
      <c r="B175" s="653"/>
      <c r="C175" s="652"/>
      <c r="D175" s="534"/>
      <c r="E175" s="313"/>
      <c r="F175" s="313"/>
      <c r="G175" s="313"/>
      <c r="H175" s="704"/>
      <c r="I175" s="704"/>
      <c r="J175" s="726"/>
      <c r="K175" s="704"/>
      <c r="L175" s="704"/>
      <c r="M175" s="704"/>
      <c r="N175" s="704"/>
      <c r="O175" s="313"/>
    </row>
    <row r="176" spans="1:16" ht="18.75">
      <c r="B176" s="653"/>
      <c r="C176" s="652" t="s">
        <v>96</v>
      </c>
      <c r="D176" s="534"/>
      <c r="E176" s="313"/>
      <c r="F176" s="313"/>
      <c r="G176" s="313"/>
      <c r="H176" s="704"/>
      <c r="I176" s="704"/>
      <c r="J176" s="726"/>
      <c r="K176" s="704"/>
      <c r="L176" s="704"/>
      <c r="M176" s="704"/>
      <c r="N176" s="704"/>
      <c r="O176" s="313"/>
    </row>
    <row r="177" spans="2:15" ht="15.75" thickBot="1">
      <c r="C177" s="240"/>
      <c r="D177" s="534"/>
      <c r="E177" s="313"/>
      <c r="F177" s="313"/>
      <c r="G177" s="313"/>
      <c r="H177" s="704"/>
      <c r="I177" s="704"/>
      <c r="J177" s="726"/>
      <c r="K177" s="704"/>
      <c r="L177" s="704"/>
      <c r="M177" s="704"/>
      <c r="N177" s="704"/>
      <c r="O177" s="313"/>
    </row>
    <row r="178" spans="2:15" ht="15.75">
      <c r="C178" s="655" t="s">
        <v>97</v>
      </c>
      <c r="D178" s="534"/>
      <c r="E178" s="313"/>
      <c r="F178" s="313"/>
      <c r="G178" s="802"/>
      <c r="H178" s="313" t="s">
        <v>76</v>
      </c>
      <c r="I178" s="313"/>
      <c r="J178" s="423"/>
      <c r="K178" s="736" t="s">
        <v>101</v>
      </c>
      <c r="L178" s="737"/>
      <c r="M178" s="738"/>
      <c r="N178" s="739">
        <f>IF(I184=0,0,VLOOKUP(I184,C191:O250,5))</f>
        <v>1794651.2797611386</v>
      </c>
      <c r="O178" s="313"/>
    </row>
    <row r="179" spans="2:15" ht="15.75">
      <c r="C179" s="655"/>
      <c r="D179" s="534"/>
      <c r="E179" s="313"/>
      <c r="F179" s="313"/>
      <c r="G179" s="313"/>
      <c r="H179" s="740"/>
      <c r="I179" s="740"/>
      <c r="J179" s="741"/>
      <c r="K179" s="742" t="s">
        <v>102</v>
      </c>
      <c r="L179" s="743"/>
      <c r="M179" s="423"/>
      <c r="N179" s="744">
        <f>IF(I184=0,0,VLOOKUP(I184,C191:O250,6))</f>
        <v>1794651.2797611386</v>
      </c>
      <c r="O179" s="313"/>
    </row>
    <row r="180" spans="2:15" ht="13.5" thickBot="1">
      <c r="C180" s="745" t="s">
        <v>98</v>
      </c>
      <c r="D180" s="1557" t="s">
        <v>816</v>
      </c>
      <c r="E180" s="1557"/>
      <c r="F180" s="1557"/>
      <c r="G180" s="1557"/>
      <c r="H180" s="1557"/>
      <c r="I180" s="1557"/>
      <c r="J180" s="726"/>
      <c r="K180" s="746" t="s">
        <v>240</v>
      </c>
      <c r="L180" s="747"/>
      <c r="M180" s="747"/>
      <c r="N180" s="748">
        <f>+N179-N178</f>
        <v>0</v>
      </c>
      <c r="O180" s="313"/>
    </row>
    <row r="181" spans="2:15">
      <c r="C181" s="749"/>
      <c r="D181" s="1557"/>
      <c r="E181" s="1557"/>
      <c r="F181" s="1557"/>
      <c r="G181" s="1557"/>
      <c r="H181" s="1557"/>
      <c r="I181" s="1557"/>
      <c r="J181" s="726"/>
      <c r="K181" s="704"/>
      <c r="L181" s="704"/>
      <c r="M181" s="704"/>
      <c r="N181" s="704"/>
      <c r="O181" s="313"/>
    </row>
    <row r="182" spans="2:15" ht="13.5" thickBot="1">
      <c r="C182" s="752"/>
      <c r="D182" s="753"/>
      <c r="E182" s="751"/>
      <c r="F182" s="751"/>
      <c r="G182" s="751"/>
      <c r="H182" s="751"/>
      <c r="I182" s="751"/>
      <c r="J182" s="754"/>
      <c r="K182" s="751"/>
      <c r="L182" s="751"/>
      <c r="M182" s="751"/>
      <c r="N182" s="751"/>
      <c r="O182" s="346"/>
    </row>
    <row r="183" spans="2:15" ht="13.5" thickBot="1">
      <c r="C183" s="755" t="s">
        <v>99</v>
      </c>
      <c r="D183" s="756"/>
      <c r="E183" s="756"/>
      <c r="F183" s="756"/>
      <c r="G183" s="756"/>
      <c r="H183" s="756"/>
      <c r="I183" s="757"/>
      <c r="J183" s="758"/>
      <c r="K183" s="313"/>
      <c r="L183" s="313"/>
      <c r="M183" s="313"/>
      <c r="N183" s="313"/>
      <c r="O183" s="759"/>
    </row>
    <row r="184" spans="2:15" ht="15">
      <c r="C184" s="760" t="s">
        <v>77</v>
      </c>
      <c r="D184" s="804">
        <v>15264784</v>
      </c>
      <c r="E184" s="721" t="s">
        <v>78</v>
      </c>
      <c r="G184" s="761"/>
      <c r="H184" s="761"/>
      <c r="I184" s="762">
        <f>$L$26</f>
        <v>2021</v>
      </c>
      <c r="J184" s="550"/>
      <c r="K184" s="1558" t="s">
        <v>249</v>
      </c>
      <c r="L184" s="1558"/>
      <c r="M184" s="1558"/>
      <c r="N184" s="1558"/>
      <c r="O184" s="1558"/>
    </row>
    <row r="185" spans="2:15">
      <c r="C185" s="760" t="s">
        <v>80</v>
      </c>
      <c r="D185" s="805">
        <v>2013</v>
      </c>
      <c r="E185" s="760" t="s">
        <v>81</v>
      </c>
      <c r="F185" s="761"/>
      <c r="H185" s="173"/>
      <c r="I185" s="806">
        <f>IF(G178="",0,$F$17)</f>
        <v>0</v>
      </c>
      <c r="J185" s="763"/>
      <c r="K185" s="726" t="s">
        <v>249</v>
      </c>
    </row>
    <row r="186" spans="2:15">
      <c r="C186" s="760" t="s">
        <v>82</v>
      </c>
      <c r="D186" s="804">
        <v>6</v>
      </c>
      <c r="E186" s="760" t="s">
        <v>83</v>
      </c>
      <c r="F186" s="761"/>
      <c r="H186" s="173"/>
      <c r="I186" s="764">
        <f>$G$70</f>
        <v>0.11565015966136639</v>
      </c>
      <c r="J186" s="765"/>
      <c r="K186" s="173" t="str">
        <f>"          INPUT PROJECTED ARR (WITH &amp; WITHOUT INCENTIVES) FROM EACH PRIOR YEAR"</f>
        <v xml:space="preserve">          INPUT PROJECTED ARR (WITH &amp; WITHOUT INCENTIVES) FROM EACH PRIOR YEAR</v>
      </c>
    </row>
    <row r="187" spans="2:15">
      <c r="C187" s="760" t="s">
        <v>84</v>
      </c>
      <c r="D187" s="766">
        <f>$G$79</f>
        <v>39</v>
      </c>
      <c r="E187" s="760" t="s">
        <v>85</v>
      </c>
      <c r="F187" s="761"/>
      <c r="H187" s="173"/>
      <c r="I187" s="764">
        <f>IF(G178="",I186,$G$69)</f>
        <v>0.11565015966136639</v>
      </c>
      <c r="J187" s="767"/>
      <c r="K187" s="173" t="s">
        <v>162</v>
      </c>
    </row>
    <row r="188" spans="2:15" ht="13.5" thickBot="1">
      <c r="C188" s="760" t="s">
        <v>86</v>
      </c>
      <c r="D188" s="803" t="s">
        <v>814</v>
      </c>
      <c r="E188" s="768" t="s">
        <v>87</v>
      </c>
      <c r="F188" s="769"/>
      <c r="G188" s="770"/>
      <c r="H188" s="770"/>
      <c r="I188" s="748">
        <f>IF(D184=0,0,D184/D187)</f>
        <v>391404.71794871794</v>
      </c>
      <c r="J188" s="726"/>
      <c r="K188" s="726" t="s">
        <v>168</v>
      </c>
      <c r="L188" s="726"/>
      <c r="M188" s="726"/>
      <c r="N188" s="726"/>
      <c r="O188" s="423"/>
    </row>
    <row r="189" spans="2:15" ht="51">
      <c r="B189" s="841"/>
      <c r="C189" s="771" t="s">
        <v>77</v>
      </c>
      <c r="D189" s="772" t="s">
        <v>88</v>
      </c>
      <c r="E189" s="773" t="s">
        <v>89</v>
      </c>
      <c r="F189" s="772" t="s">
        <v>90</v>
      </c>
      <c r="G189" s="773" t="s">
        <v>161</v>
      </c>
      <c r="H189" s="774" t="s">
        <v>161</v>
      </c>
      <c r="I189" s="771" t="s">
        <v>100</v>
      </c>
      <c r="J189" s="775"/>
      <c r="K189" s="773" t="s">
        <v>170</v>
      </c>
      <c r="L189" s="776"/>
      <c r="M189" s="773" t="s">
        <v>170</v>
      </c>
      <c r="N189" s="776"/>
      <c r="O189" s="776"/>
    </row>
    <row r="190" spans="2:15" ht="13.5" thickBot="1">
      <c r="C190" s="777" t="s">
        <v>477</v>
      </c>
      <c r="D190" s="778" t="s">
        <v>478</v>
      </c>
      <c r="E190" s="777" t="s">
        <v>371</v>
      </c>
      <c r="F190" s="778" t="s">
        <v>478</v>
      </c>
      <c r="G190" s="779" t="s">
        <v>103</v>
      </c>
      <c r="H190" s="780" t="s">
        <v>105</v>
      </c>
      <c r="I190" s="781" t="s">
        <v>17</v>
      </c>
      <c r="J190" s="782"/>
      <c r="K190" s="779" t="s">
        <v>92</v>
      </c>
      <c r="L190" s="783"/>
      <c r="M190" s="779" t="s">
        <v>105</v>
      </c>
      <c r="N190" s="783"/>
      <c r="O190" s="783"/>
    </row>
    <row r="191" spans="2:15">
      <c r="C191" s="784">
        <f>IF(D185= "","-",D185)</f>
        <v>2013</v>
      </c>
      <c r="D191" s="732">
        <f>+D184</f>
        <v>15264784</v>
      </c>
      <c r="E191" s="785">
        <f>+I188/12*(12-D186)</f>
        <v>195702.35897435897</v>
      </c>
      <c r="F191" s="732">
        <f>+D191-E191</f>
        <v>15069081.641025642</v>
      </c>
      <c r="G191" s="993">
        <f>+$I$96*((D191+F191)/2)+E191</f>
        <v>1949760.5612398847</v>
      </c>
      <c r="H191" s="994">
        <f>$I$97*((D191+F191)/2)+E191</f>
        <v>1949760.5612398847</v>
      </c>
      <c r="I191" s="788">
        <f>+H191-G191</f>
        <v>0</v>
      </c>
      <c r="J191" s="788"/>
      <c r="K191" s="807">
        <v>1578782</v>
      </c>
      <c r="L191" s="789"/>
      <c r="M191" s="807">
        <v>1578782</v>
      </c>
      <c r="N191" s="789"/>
      <c r="O191" s="789"/>
    </row>
    <row r="192" spans="2:15">
      <c r="C192" s="784">
        <f>IF(D185="","-",+C191+1)</f>
        <v>2014</v>
      </c>
      <c r="D192" s="732">
        <f t="shared" ref="D192:D250" si="6">F191</f>
        <v>15069081.641025642</v>
      </c>
      <c r="E192" s="785">
        <f>IF(D192&gt;$I$188,$I$188,D192)</f>
        <v>391404.71794871794</v>
      </c>
      <c r="F192" s="732">
        <f t="shared" ref="F192:F250" si="7">+D192-E192</f>
        <v>14677676.923076924</v>
      </c>
      <c r="G192" s="790">
        <f t="shared" ref="G192:G250" si="8">+$I$96*((D192+F192)/2)+E192</f>
        <v>2111513.406622008</v>
      </c>
      <c r="H192" s="791">
        <f t="shared" ref="H192:H250" si="9">$I$97*((D192+F192)/2)+E192</f>
        <v>2111513.406622008</v>
      </c>
      <c r="I192" s="788">
        <f t="shared" ref="I192:I250" si="10">+H192-G192</f>
        <v>0</v>
      </c>
      <c r="J192" s="788"/>
      <c r="K192" s="808">
        <v>1735811</v>
      </c>
      <c r="L192" s="792"/>
      <c r="M192" s="808">
        <v>1735811</v>
      </c>
      <c r="N192" s="792"/>
      <c r="O192" s="792"/>
    </row>
    <row r="193" spans="3:15">
      <c r="C193" s="784">
        <f>IF(D185="","-",+C192+1)</f>
        <v>2015</v>
      </c>
      <c r="D193" s="732">
        <f t="shared" si="6"/>
        <v>14677676.923076924</v>
      </c>
      <c r="E193" s="785">
        <f t="shared" ref="E193:E250" si="11">IF(D193&gt;$I$188,$I$188,D193)</f>
        <v>391404.71794871794</v>
      </c>
      <c r="F193" s="732">
        <f t="shared" si="7"/>
        <v>14286272.205128206</v>
      </c>
      <c r="G193" s="790">
        <f t="shared" si="8"/>
        <v>2066247.3884990264</v>
      </c>
      <c r="H193" s="791">
        <f t="shared" si="9"/>
        <v>2066247.3884990264</v>
      </c>
      <c r="I193" s="788">
        <f t="shared" si="10"/>
        <v>0</v>
      </c>
      <c r="J193" s="788"/>
      <c r="K193" s="808">
        <v>1857418</v>
      </c>
      <c r="L193" s="792"/>
      <c r="M193" s="808">
        <v>1857418</v>
      </c>
      <c r="N193" s="792"/>
      <c r="O193" s="792"/>
    </row>
    <row r="194" spans="3:15">
      <c r="C194" s="784">
        <f>IF(D185="","-",+C193+1)</f>
        <v>2016</v>
      </c>
      <c r="D194" s="732">
        <f t="shared" si="6"/>
        <v>14286272.205128206</v>
      </c>
      <c r="E194" s="785">
        <f t="shared" si="11"/>
        <v>391404.71794871794</v>
      </c>
      <c r="F194" s="732">
        <f t="shared" si="7"/>
        <v>13894867.487179488</v>
      </c>
      <c r="G194" s="790">
        <f t="shared" si="8"/>
        <v>2020981.3703760453</v>
      </c>
      <c r="H194" s="791">
        <f t="shared" si="9"/>
        <v>2020981.3703760453</v>
      </c>
      <c r="I194" s="788">
        <f t="shared" si="10"/>
        <v>0</v>
      </c>
      <c r="J194" s="788"/>
      <c r="K194" s="808">
        <v>1808629</v>
      </c>
      <c r="L194" s="792"/>
      <c r="M194" s="808">
        <v>1808629</v>
      </c>
      <c r="N194" s="792"/>
      <c r="O194" s="792"/>
    </row>
    <row r="195" spans="3:15">
      <c r="C195" s="784">
        <f>IF(D185="","-",+C194+1)</f>
        <v>2017</v>
      </c>
      <c r="D195" s="732">
        <f t="shared" si="6"/>
        <v>13894867.487179488</v>
      </c>
      <c r="E195" s="785">
        <f t="shared" si="11"/>
        <v>391404.71794871794</v>
      </c>
      <c r="F195" s="732">
        <f t="shared" si="7"/>
        <v>13503462.76923077</v>
      </c>
      <c r="G195" s="790">
        <f t="shared" si="8"/>
        <v>1975715.3522530638</v>
      </c>
      <c r="H195" s="791">
        <f t="shared" si="9"/>
        <v>1975715.3522530638</v>
      </c>
      <c r="I195" s="788">
        <f t="shared" si="10"/>
        <v>0</v>
      </c>
      <c r="J195" s="788"/>
      <c r="K195" s="808">
        <v>1924179</v>
      </c>
      <c r="L195" s="792"/>
      <c r="M195" s="808">
        <v>1924179</v>
      </c>
      <c r="N195" s="792"/>
      <c r="O195" s="792"/>
    </row>
    <row r="196" spans="3:15">
      <c r="C196" s="1327">
        <f>IF(D185="","-",+C195+1)</f>
        <v>2018</v>
      </c>
      <c r="D196" s="732">
        <f t="shared" si="6"/>
        <v>13503462.76923077</v>
      </c>
      <c r="E196" s="785">
        <f t="shared" si="11"/>
        <v>391404.71794871794</v>
      </c>
      <c r="F196" s="732">
        <f t="shared" si="7"/>
        <v>13112058.051282052</v>
      </c>
      <c r="G196" s="790">
        <f t="shared" si="8"/>
        <v>1930449.3341300827</v>
      </c>
      <c r="H196" s="791">
        <f t="shared" si="9"/>
        <v>1930449.3341300827</v>
      </c>
      <c r="I196" s="788">
        <f t="shared" si="10"/>
        <v>0</v>
      </c>
      <c r="J196" s="788"/>
      <c r="K196" s="808">
        <v>1648242</v>
      </c>
      <c r="L196" s="792"/>
      <c r="M196" s="808">
        <v>1648242</v>
      </c>
      <c r="N196" s="792"/>
      <c r="O196" s="792"/>
    </row>
    <row r="197" spans="3:15">
      <c r="C197" s="1304">
        <f>IF(D185="","-",+C196+1)</f>
        <v>2019</v>
      </c>
      <c r="D197" s="732">
        <f t="shared" si="6"/>
        <v>13112058.051282052</v>
      </c>
      <c r="E197" s="785">
        <f t="shared" si="11"/>
        <v>391404.71794871794</v>
      </c>
      <c r="F197" s="732">
        <f t="shared" si="7"/>
        <v>12720653.333333334</v>
      </c>
      <c r="G197" s="790">
        <f t="shared" si="8"/>
        <v>1885183.3160071012</v>
      </c>
      <c r="H197" s="791">
        <f t="shared" si="9"/>
        <v>1885183.3160071012</v>
      </c>
      <c r="I197" s="788">
        <f t="shared" si="10"/>
        <v>0</v>
      </c>
      <c r="J197" s="788"/>
      <c r="K197" s="808"/>
      <c r="L197" s="792"/>
      <c r="M197" s="808"/>
      <c r="N197" s="792"/>
      <c r="O197" s="792"/>
    </row>
    <row r="198" spans="3:15">
      <c r="C198" s="784">
        <f>IF(D185="","-",+C197+1)</f>
        <v>2020</v>
      </c>
      <c r="D198" s="732">
        <f t="shared" si="6"/>
        <v>12720653.333333334</v>
      </c>
      <c r="E198" s="785">
        <f t="shared" si="11"/>
        <v>391404.71794871794</v>
      </c>
      <c r="F198" s="732">
        <f t="shared" si="7"/>
        <v>12329248.615384616</v>
      </c>
      <c r="G198" s="790">
        <f t="shared" si="8"/>
        <v>1839917.2978841201</v>
      </c>
      <c r="H198" s="791">
        <f t="shared" si="9"/>
        <v>1839917.2978841201</v>
      </c>
      <c r="I198" s="788">
        <f t="shared" si="10"/>
        <v>0</v>
      </c>
      <c r="J198" s="788"/>
      <c r="K198" s="808"/>
      <c r="L198" s="792"/>
      <c r="M198" s="808"/>
      <c r="N198" s="792"/>
      <c r="O198" s="792"/>
    </row>
    <row r="199" spans="3:15">
      <c r="C199" s="784">
        <f>IF(D185="","-",+C198+1)</f>
        <v>2021</v>
      </c>
      <c r="D199" s="732">
        <f t="shared" si="6"/>
        <v>12329248.615384616</v>
      </c>
      <c r="E199" s="785">
        <f t="shared" si="11"/>
        <v>391404.71794871794</v>
      </c>
      <c r="F199" s="732">
        <f t="shared" si="7"/>
        <v>11937843.897435898</v>
      </c>
      <c r="G199" s="790">
        <f t="shared" si="8"/>
        <v>1794651.2797611386</v>
      </c>
      <c r="H199" s="791">
        <f t="shared" si="9"/>
        <v>1794651.2797611386</v>
      </c>
      <c r="I199" s="788">
        <f t="shared" si="10"/>
        <v>0</v>
      </c>
      <c r="J199" s="788"/>
      <c r="K199" s="808"/>
      <c r="L199" s="792"/>
      <c r="M199" s="808"/>
      <c r="N199" s="792"/>
      <c r="O199" s="792"/>
    </row>
    <row r="200" spans="3:15">
      <c r="C200" s="784">
        <f>IF(D185="","-",+C199+1)</f>
        <v>2022</v>
      </c>
      <c r="D200" s="732">
        <f t="shared" si="6"/>
        <v>11937843.897435898</v>
      </c>
      <c r="E200" s="785">
        <f t="shared" si="11"/>
        <v>391404.71794871794</v>
      </c>
      <c r="F200" s="732">
        <f t="shared" si="7"/>
        <v>11546439.17948718</v>
      </c>
      <c r="G200" s="790">
        <f t="shared" si="8"/>
        <v>1749385.2616381575</v>
      </c>
      <c r="H200" s="791">
        <f t="shared" si="9"/>
        <v>1749385.2616381575</v>
      </c>
      <c r="I200" s="788">
        <f t="shared" si="10"/>
        <v>0</v>
      </c>
      <c r="J200" s="788"/>
      <c r="K200" s="808"/>
      <c r="L200" s="792"/>
      <c r="M200" s="808"/>
      <c r="N200" s="792"/>
      <c r="O200" s="792"/>
    </row>
    <row r="201" spans="3:15">
      <c r="C201" s="784">
        <f>IF(D185="","-",+C200+1)</f>
        <v>2023</v>
      </c>
      <c r="D201" s="732">
        <f t="shared" si="6"/>
        <v>11546439.17948718</v>
      </c>
      <c r="E201" s="785">
        <f t="shared" si="11"/>
        <v>391404.71794871794</v>
      </c>
      <c r="F201" s="732">
        <f t="shared" si="7"/>
        <v>11155034.461538462</v>
      </c>
      <c r="G201" s="790">
        <f t="shared" si="8"/>
        <v>1704119.243515176</v>
      </c>
      <c r="H201" s="791">
        <f t="shared" si="9"/>
        <v>1704119.243515176</v>
      </c>
      <c r="I201" s="788">
        <f t="shared" si="10"/>
        <v>0</v>
      </c>
      <c r="J201" s="788"/>
      <c r="K201" s="808"/>
      <c r="L201" s="792"/>
      <c r="M201" s="808"/>
      <c r="N201" s="792"/>
      <c r="O201" s="792"/>
    </row>
    <row r="202" spans="3:15">
      <c r="C202" s="784">
        <f>IF(D185="","-",+C201+1)</f>
        <v>2024</v>
      </c>
      <c r="D202" s="732">
        <f t="shared" si="6"/>
        <v>11155034.461538462</v>
      </c>
      <c r="E202" s="785">
        <f t="shared" si="11"/>
        <v>391404.71794871794</v>
      </c>
      <c r="F202" s="732">
        <f t="shared" si="7"/>
        <v>10763629.743589744</v>
      </c>
      <c r="G202" s="790">
        <f t="shared" si="8"/>
        <v>1658853.2253921949</v>
      </c>
      <c r="H202" s="791">
        <f t="shared" si="9"/>
        <v>1658853.2253921949</v>
      </c>
      <c r="I202" s="788">
        <f t="shared" si="10"/>
        <v>0</v>
      </c>
      <c r="J202" s="788"/>
      <c r="K202" s="808"/>
      <c r="L202" s="792"/>
      <c r="M202" s="808"/>
      <c r="N202" s="792"/>
      <c r="O202" s="792"/>
    </row>
    <row r="203" spans="3:15">
      <c r="C203" s="784">
        <f>IF(D185="","-",+C202+1)</f>
        <v>2025</v>
      </c>
      <c r="D203" s="732">
        <f t="shared" si="6"/>
        <v>10763629.743589744</v>
      </c>
      <c r="E203" s="785">
        <f t="shared" si="11"/>
        <v>391404.71794871794</v>
      </c>
      <c r="F203" s="732">
        <f t="shared" si="7"/>
        <v>10372225.025641026</v>
      </c>
      <c r="G203" s="790">
        <f t="shared" si="8"/>
        <v>1613587.2072692134</v>
      </c>
      <c r="H203" s="791">
        <f t="shared" si="9"/>
        <v>1613587.2072692134</v>
      </c>
      <c r="I203" s="788">
        <f t="shared" si="10"/>
        <v>0</v>
      </c>
      <c r="J203" s="788"/>
      <c r="K203" s="808"/>
      <c r="L203" s="792"/>
      <c r="M203" s="808"/>
      <c r="N203" s="793"/>
      <c r="O203" s="792"/>
    </row>
    <row r="204" spans="3:15">
      <c r="C204" s="784">
        <f>IF(D185="","-",+C203+1)</f>
        <v>2026</v>
      </c>
      <c r="D204" s="732">
        <f t="shared" si="6"/>
        <v>10372225.025641026</v>
      </c>
      <c r="E204" s="785">
        <f t="shared" si="11"/>
        <v>391404.71794871794</v>
      </c>
      <c r="F204" s="732">
        <f t="shared" si="7"/>
        <v>9980820.307692308</v>
      </c>
      <c r="G204" s="790">
        <f t="shared" si="8"/>
        <v>1568321.1891462323</v>
      </c>
      <c r="H204" s="791">
        <f t="shared" si="9"/>
        <v>1568321.1891462323</v>
      </c>
      <c r="I204" s="788">
        <f t="shared" si="10"/>
        <v>0</v>
      </c>
      <c r="J204" s="788"/>
      <c r="K204" s="808"/>
      <c r="L204" s="792"/>
      <c r="M204" s="808"/>
      <c r="N204" s="792"/>
      <c r="O204" s="792"/>
    </row>
    <row r="205" spans="3:15">
      <c r="C205" s="784">
        <f>IF(D185="","-",+C204+1)</f>
        <v>2027</v>
      </c>
      <c r="D205" s="732">
        <f t="shared" si="6"/>
        <v>9980820.307692308</v>
      </c>
      <c r="E205" s="785">
        <f t="shared" si="11"/>
        <v>391404.71794871794</v>
      </c>
      <c r="F205" s="732">
        <f t="shared" si="7"/>
        <v>9589415.58974359</v>
      </c>
      <c r="G205" s="790">
        <f t="shared" si="8"/>
        <v>1523055.1710232508</v>
      </c>
      <c r="H205" s="791">
        <f t="shared" si="9"/>
        <v>1523055.1710232508</v>
      </c>
      <c r="I205" s="788">
        <f t="shared" si="10"/>
        <v>0</v>
      </c>
      <c r="J205" s="788"/>
      <c r="K205" s="808"/>
      <c r="L205" s="792"/>
      <c r="M205" s="808"/>
      <c r="N205" s="792"/>
      <c r="O205" s="792"/>
    </row>
    <row r="206" spans="3:15">
      <c r="C206" s="784">
        <f>IF(D185="","-",+C205+1)</f>
        <v>2028</v>
      </c>
      <c r="D206" s="732">
        <f t="shared" si="6"/>
        <v>9589415.58974359</v>
      </c>
      <c r="E206" s="785">
        <f t="shared" si="11"/>
        <v>391404.71794871794</v>
      </c>
      <c r="F206" s="732">
        <f t="shared" si="7"/>
        <v>9198010.871794872</v>
      </c>
      <c r="G206" s="790">
        <f t="shared" si="8"/>
        <v>1477789.1529002697</v>
      </c>
      <c r="H206" s="791">
        <f t="shared" si="9"/>
        <v>1477789.1529002697</v>
      </c>
      <c r="I206" s="788">
        <f t="shared" si="10"/>
        <v>0</v>
      </c>
      <c r="J206" s="788"/>
      <c r="K206" s="808"/>
      <c r="L206" s="792"/>
      <c r="M206" s="808"/>
      <c r="N206" s="792"/>
      <c r="O206" s="792"/>
    </row>
    <row r="207" spans="3:15">
      <c r="C207" s="784">
        <f>IF(D185="","-",+C206+1)</f>
        <v>2029</v>
      </c>
      <c r="D207" s="732">
        <f t="shared" si="6"/>
        <v>9198010.871794872</v>
      </c>
      <c r="E207" s="785">
        <f t="shared" si="11"/>
        <v>391404.71794871794</v>
      </c>
      <c r="F207" s="732">
        <f t="shared" si="7"/>
        <v>8806606.153846154</v>
      </c>
      <c r="G207" s="790">
        <f t="shared" si="8"/>
        <v>1432523.134777288</v>
      </c>
      <c r="H207" s="791">
        <f t="shared" si="9"/>
        <v>1432523.134777288</v>
      </c>
      <c r="I207" s="788">
        <f t="shared" si="10"/>
        <v>0</v>
      </c>
      <c r="J207" s="788"/>
      <c r="K207" s="808"/>
      <c r="L207" s="792"/>
      <c r="M207" s="808"/>
      <c r="N207" s="792"/>
      <c r="O207" s="792"/>
    </row>
    <row r="208" spans="3:15">
      <c r="C208" s="784">
        <f>IF(D185="","-",+C207+1)</f>
        <v>2030</v>
      </c>
      <c r="D208" s="732">
        <f t="shared" si="6"/>
        <v>8806606.153846154</v>
      </c>
      <c r="E208" s="785">
        <f t="shared" si="11"/>
        <v>391404.71794871794</v>
      </c>
      <c r="F208" s="732">
        <f t="shared" si="7"/>
        <v>8415201.435897436</v>
      </c>
      <c r="G208" s="790">
        <f t="shared" si="8"/>
        <v>1387257.1166543069</v>
      </c>
      <c r="H208" s="791">
        <f t="shared" si="9"/>
        <v>1387257.1166543069</v>
      </c>
      <c r="I208" s="788">
        <f t="shared" si="10"/>
        <v>0</v>
      </c>
      <c r="J208" s="788"/>
      <c r="K208" s="808"/>
      <c r="L208" s="792"/>
      <c r="M208" s="808"/>
      <c r="N208" s="792"/>
      <c r="O208" s="792"/>
    </row>
    <row r="209" spans="3:15">
      <c r="C209" s="784">
        <f>IF(D185="","-",+C208+1)</f>
        <v>2031</v>
      </c>
      <c r="D209" s="732">
        <f t="shared" si="6"/>
        <v>8415201.435897436</v>
      </c>
      <c r="E209" s="785">
        <f t="shared" si="11"/>
        <v>391404.71794871794</v>
      </c>
      <c r="F209" s="732">
        <f t="shared" si="7"/>
        <v>8023796.717948718</v>
      </c>
      <c r="G209" s="790">
        <f t="shared" si="8"/>
        <v>1341991.0985313256</v>
      </c>
      <c r="H209" s="791">
        <f t="shared" si="9"/>
        <v>1341991.0985313256</v>
      </c>
      <c r="I209" s="788">
        <f t="shared" si="10"/>
        <v>0</v>
      </c>
      <c r="J209" s="788"/>
      <c r="K209" s="808"/>
      <c r="L209" s="792"/>
      <c r="M209" s="808"/>
      <c r="N209" s="792"/>
      <c r="O209" s="792"/>
    </row>
    <row r="210" spans="3:15">
      <c r="C210" s="784">
        <f>IF(D185="","-",+C209+1)</f>
        <v>2032</v>
      </c>
      <c r="D210" s="732">
        <f t="shared" si="6"/>
        <v>8023796.717948718</v>
      </c>
      <c r="E210" s="785">
        <f t="shared" si="11"/>
        <v>391404.71794871794</v>
      </c>
      <c r="F210" s="732">
        <f t="shared" si="7"/>
        <v>7632392</v>
      </c>
      <c r="G210" s="790">
        <f t="shared" si="8"/>
        <v>1296725.0804083443</v>
      </c>
      <c r="H210" s="791">
        <f t="shared" si="9"/>
        <v>1296725.0804083443</v>
      </c>
      <c r="I210" s="788">
        <f t="shared" si="10"/>
        <v>0</v>
      </c>
      <c r="J210" s="788"/>
      <c r="K210" s="808"/>
      <c r="L210" s="792"/>
      <c r="M210" s="808"/>
      <c r="N210" s="792"/>
      <c r="O210" s="792"/>
    </row>
    <row r="211" spans="3:15">
      <c r="C211" s="784">
        <f>IF(D185="","-",+C210+1)</f>
        <v>2033</v>
      </c>
      <c r="D211" s="732">
        <f t="shared" si="6"/>
        <v>7632392</v>
      </c>
      <c r="E211" s="785">
        <f t="shared" si="11"/>
        <v>391404.71794871794</v>
      </c>
      <c r="F211" s="732">
        <f t="shared" si="7"/>
        <v>7240987.282051282</v>
      </c>
      <c r="G211" s="790">
        <f t="shared" si="8"/>
        <v>1251459.0622853627</v>
      </c>
      <c r="H211" s="791">
        <f t="shared" si="9"/>
        <v>1251459.0622853627</v>
      </c>
      <c r="I211" s="788">
        <f t="shared" si="10"/>
        <v>0</v>
      </c>
      <c r="J211" s="788"/>
      <c r="K211" s="808"/>
      <c r="L211" s="792"/>
      <c r="M211" s="808"/>
      <c r="N211" s="792"/>
      <c r="O211" s="792"/>
    </row>
    <row r="212" spans="3:15">
      <c r="C212" s="784">
        <f>IF(D185="","-",+C211+1)</f>
        <v>2034</v>
      </c>
      <c r="D212" s="732">
        <f t="shared" si="6"/>
        <v>7240987.282051282</v>
      </c>
      <c r="E212" s="785">
        <f t="shared" si="11"/>
        <v>391404.71794871794</v>
      </c>
      <c r="F212" s="732">
        <f t="shared" si="7"/>
        <v>6849582.564102564</v>
      </c>
      <c r="G212" s="790">
        <f t="shared" si="8"/>
        <v>1206193.0441623814</v>
      </c>
      <c r="H212" s="791">
        <f t="shared" si="9"/>
        <v>1206193.0441623814</v>
      </c>
      <c r="I212" s="788">
        <f t="shared" si="10"/>
        <v>0</v>
      </c>
      <c r="J212" s="788"/>
      <c r="K212" s="808"/>
      <c r="L212" s="792"/>
      <c r="M212" s="808"/>
      <c r="N212" s="792"/>
      <c r="O212" s="792"/>
    </row>
    <row r="213" spans="3:15">
      <c r="C213" s="784">
        <f>IF(D185="","-",+C212+1)</f>
        <v>2035</v>
      </c>
      <c r="D213" s="732">
        <f t="shared" si="6"/>
        <v>6849582.564102564</v>
      </c>
      <c r="E213" s="785">
        <f t="shared" si="11"/>
        <v>391404.71794871794</v>
      </c>
      <c r="F213" s="732">
        <f t="shared" si="7"/>
        <v>6458177.846153846</v>
      </c>
      <c r="G213" s="790">
        <f t="shared" si="8"/>
        <v>1160927.0260394001</v>
      </c>
      <c r="H213" s="791">
        <f t="shared" si="9"/>
        <v>1160927.0260394001</v>
      </c>
      <c r="I213" s="788">
        <f t="shared" si="10"/>
        <v>0</v>
      </c>
      <c r="J213" s="788"/>
      <c r="K213" s="808"/>
      <c r="L213" s="792"/>
      <c r="M213" s="808"/>
      <c r="N213" s="792"/>
      <c r="O213" s="792"/>
    </row>
    <row r="214" spans="3:15">
      <c r="C214" s="784">
        <f>IF(D185="","-",+C213+1)</f>
        <v>2036</v>
      </c>
      <c r="D214" s="732">
        <f t="shared" si="6"/>
        <v>6458177.846153846</v>
      </c>
      <c r="E214" s="785">
        <f t="shared" si="11"/>
        <v>391404.71794871794</v>
      </c>
      <c r="F214" s="732">
        <f t="shared" si="7"/>
        <v>6066773.128205128</v>
      </c>
      <c r="G214" s="790">
        <f t="shared" si="8"/>
        <v>1115661.0079164188</v>
      </c>
      <c r="H214" s="791">
        <f t="shared" si="9"/>
        <v>1115661.0079164188</v>
      </c>
      <c r="I214" s="788">
        <f t="shared" si="10"/>
        <v>0</v>
      </c>
      <c r="J214" s="788"/>
      <c r="K214" s="808"/>
      <c r="L214" s="792"/>
      <c r="M214" s="808"/>
      <c r="N214" s="792"/>
      <c r="O214" s="792"/>
    </row>
    <row r="215" spans="3:15">
      <c r="C215" s="784">
        <f>IF(D185="","-",+C214+1)</f>
        <v>2037</v>
      </c>
      <c r="D215" s="732">
        <f t="shared" si="6"/>
        <v>6066773.128205128</v>
      </c>
      <c r="E215" s="785">
        <f t="shared" si="11"/>
        <v>391404.71794871794</v>
      </c>
      <c r="F215" s="732">
        <f t="shared" si="7"/>
        <v>5675368.41025641</v>
      </c>
      <c r="G215" s="790">
        <f t="shared" si="8"/>
        <v>1070394.9897934375</v>
      </c>
      <c r="H215" s="791">
        <f t="shared" si="9"/>
        <v>1070394.9897934375</v>
      </c>
      <c r="I215" s="788">
        <f t="shared" si="10"/>
        <v>0</v>
      </c>
      <c r="J215" s="788"/>
      <c r="K215" s="808"/>
      <c r="L215" s="792"/>
      <c r="M215" s="808"/>
      <c r="N215" s="792"/>
      <c r="O215" s="792"/>
    </row>
    <row r="216" spans="3:15">
      <c r="C216" s="784">
        <f>IF(D185="","-",+C215+1)</f>
        <v>2038</v>
      </c>
      <c r="D216" s="732">
        <f t="shared" si="6"/>
        <v>5675368.41025641</v>
      </c>
      <c r="E216" s="785">
        <f t="shared" si="11"/>
        <v>391404.71794871794</v>
      </c>
      <c r="F216" s="732">
        <f t="shared" si="7"/>
        <v>5283963.692307692</v>
      </c>
      <c r="G216" s="790">
        <f t="shared" si="8"/>
        <v>1025128.9716704562</v>
      </c>
      <c r="H216" s="791">
        <f t="shared" si="9"/>
        <v>1025128.9716704562</v>
      </c>
      <c r="I216" s="788">
        <f t="shared" si="10"/>
        <v>0</v>
      </c>
      <c r="J216" s="788"/>
      <c r="K216" s="808"/>
      <c r="L216" s="792"/>
      <c r="M216" s="808"/>
      <c r="N216" s="792"/>
      <c r="O216" s="792"/>
    </row>
    <row r="217" spans="3:15">
      <c r="C217" s="784">
        <f>IF(D185="","-",+C216+1)</f>
        <v>2039</v>
      </c>
      <c r="D217" s="732">
        <f t="shared" si="6"/>
        <v>5283963.692307692</v>
      </c>
      <c r="E217" s="785">
        <f t="shared" si="11"/>
        <v>391404.71794871794</v>
      </c>
      <c r="F217" s="732">
        <f t="shared" si="7"/>
        <v>4892558.974358974</v>
      </c>
      <c r="G217" s="790">
        <f t="shared" si="8"/>
        <v>979862.95354747493</v>
      </c>
      <c r="H217" s="791">
        <f t="shared" si="9"/>
        <v>979862.95354747493</v>
      </c>
      <c r="I217" s="788">
        <f t="shared" si="10"/>
        <v>0</v>
      </c>
      <c r="J217" s="788"/>
      <c r="K217" s="808"/>
      <c r="L217" s="792"/>
      <c r="M217" s="808"/>
      <c r="N217" s="792"/>
      <c r="O217" s="792"/>
    </row>
    <row r="218" spans="3:15">
      <c r="C218" s="784">
        <f>IF(D185="","-",+C217+1)</f>
        <v>2040</v>
      </c>
      <c r="D218" s="732">
        <f t="shared" si="6"/>
        <v>4892558.974358974</v>
      </c>
      <c r="E218" s="785">
        <f t="shared" si="11"/>
        <v>391404.71794871794</v>
      </c>
      <c r="F218" s="732">
        <f t="shared" si="7"/>
        <v>4501154.256410256</v>
      </c>
      <c r="G218" s="790">
        <f t="shared" si="8"/>
        <v>934596.93542449363</v>
      </c>
      <c r="H218" s="791">
        <f t="shared" si="9"/>
        <v>934596.93542449363</v>
      </c>
      <c r="I218" s="788">
        <f t="shared" si="10"/>
        <v>0</v>
      </c>
      <c r="J218" s="788"/>
      <c r="K218" s="808"/>
      <c r="L218" s="792"/>
      <c r="M218" s="808"/>
      <c r="N218" s="792"/>
      <c r="O218" s="792"/>
    </row>
    <row r="219" spans="3:15">
      <c r="C219" s="784">
        <f>IF(D185="","-",+C218+1)</f>
        <v>2041</v>
      </c>
      <c r="D219" s="732">
        <f t="shared" si="6"/>
        <v>4501154.256410256</v>
      </c>
      <c r="E219" s="785">
        <f t="shared" si="11"/>
        <v>391404.71794871794</v>
      </c>
      <c r="F219" s="732">
        <f t="shared" si="7"/>
        <v>4109749.538461538</v>
      </c>
      <c r="G219" s="786">
        <f t="shared" si="8"/>
        <v>889330.91730151232</v>
      </c>
      <c r="H219" s="791">
        <f t="shared" si="9"/>
        <v>889330.91730151232</v>
      </c>
      <c r="I219" s="788">
        <f t="shared" si="10"/>
        <v>0</v>
      </c>
      <c r="J219" s="788"/>
      <c r="K219" s="808"/>
      <c r="L219" s="792"/>
      <c r="M219" s="808"/>
      <c r="N219" s="792"/>
      <c r="O219" s="792"/>
    </row>
    <row r="220" spans="3:15">
      <c r="C220" s="784">
        <f>IF(D185="","-",+C219+1)</f>
        <v>2042</v>
      </c>
      <c r="D220" s="732">
        <f t="shared" si="6"/>
        <v>4109749.538461538</v>
      </c>
      <c r="E220" s="785">
        <f t="shared" si="11"/>
        <v>391404.71794871794</v>
      </c>
      <c r="F220" s="732">
        <f t="shared" si="7"/>
        <v>3718344.82051282</v>
      </c>
      <c r="G220" s="790">
        <f t="shared" si="8"/>
        <v>844064.89917853102</v>
      </c>
      <c r="H220" s="791">
        <f t="shared" si="9"/>
        <v>844064.89917853102</v>
      </c>
      <c r="I220" s="788">
        <f t="shared" si="10"/>
        <v>0</v>
      </c>
      <c r="J220" s="788"/>
      <c r="K220" s="808"/>
      <c r="L220" s="792"/>
      <c r="M220" s="808"/>
      <c r="N220" s="792"/>
      <c r="O220" s="792"/>
    </row>
    <row r="221" spans="3:15">
      <c r="C221" s="784">
        <f>IF(D185="","-",+C220+1)</f>
        <v>2043</v>
      </c>
      <c r="D221" s="732">
        <f t="shared" si="6"/>
        <v>3718344.82051282</v>
      </c>
      <c r="E221" s="785">
        <f t="shared" si="11"/>
        <v>391404.71794871794</v>
      </c>
      <c r="F221" s="732">
        <f t="shared" si="7"/>
        <v>3326940.102564102</v>
      </c>
      <c r="G221" s="790">
        <f t="shared" si="8"/>
        <v>798798.88105554972</v>
      </c>
      <c r="H221" s="791">
        <f t="shared" si="9"/>
        <v>798798.88105554972</v>
      </c>
      <c r="I221" s="788">
        <f t="shared" si="10"/>
        <v>0</v>
      </c>
      <c r="J221" s="788"/>
      <c r="K221" s="808"/>
      <c r="L221" s="792"/>
      <c r="M221" s="808"/>
      <c r="N221" s="792"/>
      <c r="O221" s="792"/>
    </row>
    <row r="222" spans="3:15">
      <c r="C222" s="784">
        <f>IF(D185="","-",+C221+1)</f>
        <v>2044</v>
      </c>
      <c r="D222" s="732">
        <f t="shared" si="6"/>
        <v>3326940.102564102</v>
      </c>
      <c r="E222" s="785">
        <f t="shared" si="11"/>
        <v>391404.71794871794</v>
      </c>
      <c r="F222" s="732">
        <f t="shared" si="7"/>
        <v>2935535.384615384</v>
      </c>
      <c r="G222" s="790">
        <f t="shared" si="8"/>
        <v>753532.86293256842</v>
      </c>
      <c r="H222" s="791">
        <f t="shared" si="9"/>
        <v>753532.86293256842</v>
      </c>
      <c r="I222" s="788">
        <f t="shared" si="10"/>
        <v>0</v>
      </c>
      <c r="J222" s="788"/>
      <c r="K222" s="808"/>
      <c r="L222" s="792"/>
      <c r="M222" s="808"/>
      <c r="N222" s="792"/>
      <c r="O222" s="792"/>
    </row>
    <row r="223" spans="3:15">
      <c r="C223" s="784">
        <f>IF(D185="","-",+C222+1)</f>
        <v>2045</v>
      </c>
      <c r="D223" s="732">
        <f t="shared" si="6"/>
        <v>2935535.384615384</v>
      </c>
      <c r="E223" s="785">
        <f t="shared" si="11"/>
        <v>391404.71794871794</v>
      </c>
      <c r="F223" s="732">
        <f t="shared" si="7"/>
        <v>2544130.666666666</v>
      </c>
      <c r="G223" s="790">
        <f t="shared" si="8"/>
        <v>708266.84480958711</v>
      </c>
      <c r="H223" s="791">
        <f t="shared" si="9"/>
        <v>708266.84480958711</v>
      </c>
      <c r="I223" s="788">
        <f t="shared" si="10"/>
        <v>0</v>
      </c>
      <c r="J223" s="788"/>
      <c r="K223" s="808"/>
      <c r="L223" s="792"/>
      <c r="M223" s="808"/>
      <c r="N223" s="792"/>
      <c r="O223" s="792"/>
    </row>
    <row r="224" spans="3:15">
      <c r="C224" s="784">
        <f>IF(D185="","-",+C223+1)</f>
        <v>2046</v>
      </c>
      <c r="D224" s="732">
        <f t="shared" si="6"/>
        <v>2544130.666666666</v>
      </c>
      <c r="E224" s="785">
        <f t="shared" si="11"/>
        <v>391404.71794871794</v>
      </c>
      <c r="F224" s="732">
        <f t="shared" si="7"/>
        <v>2152725.948717948</v>
      </c>
      <c r="G224" s="790">
        <f t="shared" si="8"/>
        <v>663000.82668660581</v>
      </c>
      <c r="H224" s="791">
        <f t="shared" si="9"/>
        <v>663000.82668660581</v>
      </c>
      <c r="I224" s="788">
        <f t="shared" si="10"/>
        <v>0</v>
      </c>
      <c r="J224" s="788"/>
      <c r="K224" s="808"/>
      <c r="L224" s="792"/>
      <c r="M224" s="808"/>
      <c r="N224" s="792"/>
      <c r="O224" s="792"/>
    </row>
    <row r="225" spans="3:15">
      <c r="C225" s="784">
        <f>IF(D185="","-",+C224+1)</f>
        <v>2047</v>
      </c>
      <c r="D225" s="732">
        <f t="shared" si="6"/>
        <v>2152725.948717948</v>
      </c>
      <c r="E225" s="785">
        <f t="shared" si="11"/>
        <v>391404.71794871794</v>
      </c>
      <c r="F225" s="732">
        <f t="shared" si="7"/>
        <v>1761321.2307692301</v>
      </c>
      <c r="G225" s="790">
        <f t="shared" si="8"/>
        <v>617734.80856362439</v>
      </c>
      <c r="H225" s="791">
        <f t="shared" si="9"/>
        <v>617734.80856362439</v>
      </c>
      <c r="I225" s="788">
        <f t="shared" si="10"/>
        <v>0</v>
      </c>
      <c r="J225" s="788"/>
      <c r="K225" s="808"/>
      <c r="L225" s="792"/>
      <c r="M225" s="808"/>
      <c r="N225" s="792"/>
      <c r="O225" s="792"/>
    </row>
    <row r="226" spans="3:15">
      <c r="C226" s="784">
        <f>IF(D185="","-",+C225+1)</f>
        <v>2048</v>
      </c>
      <c r="D226" s="732">
        <f t="shared" si="6"/>
        <v>1761321.2307692301</v>
      </c>
      <c r="E226" s="785">
        <f t="shared" si="11"/>
        <v>391404.71794871794</v>
      </c>
      <c r="F226" s="732">
        <f t="shared" si="7"/>
        <v>1369916.5128205121</v>
      </c>
      <c r="G226" s="790">
        <f t="shared" si="8"/>
        <v>572468.79044064309</v>
      </c>
      <c r="H226" s="791">
        <f t="shared" si="9"/>
        <v>572468.79044064309</v>
      </c>
      <c r="I226" s="788">
        <f t="shared" si="10"/>
        <v>0</v>
      </c>
      <c r="J226" s="788"/>
      <c r="K226" s="808"/>
      <c r="L226" s="792"/>
      <c r="M226" s="808"/>
      <c r="N226" s="792"/>
      <c r="O226" s="792"/>
    </row>
    <row r="227" spans="3:15">
      <c r="C227" s="784">
        <f>IF(D185="","-",+C226+1)</f>
        <v>2049</v>
      </c>
      <c r="D227" s="732">
        <f t="shared" si="6"/>
        <v>1369916.5128205121</v>
      </c>
      <c r="E227" s="785">
        <f t="shared" si="11"/>
        <v>391404.71794871794</v>
      </c>
      <c r="F227" s="732">
        <f t="shared" si="7"/>
        <v>978511.79487179406</v>
      </c>
      <c r="G227" s="790">
        <f t="shared" si="8"/>
        <v>527202.77231766179</v>
      </c>
      <c r="H227" s="791">
        <f t="shared" si="9"/>
        <v>527202.77231766179</v>
      </c>
      <c r="I227" s="788">
        <f t="shared" si="10"/>
        <v>0</v>
      </c>
      <c r="J227" s="788"/>
      <c r="K227" s="808"/>
      <c r="L227" s="792"/>
      <c r="M227" s="808"/>
      <c r="N227" s="792"/>
      <c r="O227" s="792"/>
    </row>
    <row r="228" spans="3:15">
      <c r="C228" s="784">
        <f>IF(D185="","-",+C227+1)</f>
        <v>2050</v>
      </c>
      <c r="D228" s="732">
        <f t="shared" si="6"/>
        <v>978511.79487179406</v>
      </c>
      <c r="E228" s="785">
        <f t="shared" si="11"/>
        <v>391404.71794871794</v>
      </c>
      <c r="F228" s="732">
        <f t="shared" si="7"/>
        <v>587107.07692307606</v>
      </c>
      <c r="G228" s="790">
        <f t="shared" si="8"/>
        <v>481936.75419468048</v>
      </c>
      <c r="H228" s="791">
        <f t="shared" si="9"/>
        <v>481936.75419468048</v>
      </c>
      <c r="I228" s="788">
        <f t="shared" si="10"/>
        <v>0</v>
      </c>
      <c r="J228" s="788"/>
      <c r="K228" s="808"/>
      <c r="L228" s="792"/>
      <c r="M228" s="808"/>
      <c r="N228" s="792"/>
      <c r="O228" s="792"/>
    </row>
    <row r="229" spans="3:15">
      <c r="C229" s="784">
        <f>IF(D185="","-",+C228+1)</f>
        <v>2051</v>
      </c>
      <c r="D229" s="732">
        <f t="shared" si="6"/>
        <v>587107.07692307606</v>
      </c>
      <c r="E229" s="785">
        <f t="shared" si="11"/>
        <v>391404.71794871794</v>
      </c>
      <c r="F229" s="732">
        <f t="shared" si="7"/>
        <v>195702.35897435813</v>
      </c>
      <c r="G229" s="790">
        <f t="shared" si="8"/>
        <v>436670.73607169912</v>
      </c>
      <c r="H229" s="791">
        <f t="shared" si="9"/>
        <v>436670.73607169912</v>
      </c>
      <c r="I229" s="788">
        <f t="shared" si="10"/>
        <v>0</v>
      </c>
      <c r="J229" s="788"/>
      <c r="K229" s="808"/>
      <c r="L229" s="792"/>
      <c r="M229" s="808"/>
      <c r="N229" s="792"/>
      <c r="O229" s="792"/>
    </row>
    <row r="230" spans="3:15">
      <c r="C230" s="784">
        <f>IF(D185="","-",+C229+1)</f>
        <v>2052</v>
      </c>
      <c r="D230" s="732">
        <f t="shared" si="6"/>
        <v>195702.35897435813</v>
      </c>
      <c r="E230" s="785">
        <f t="shared" si="11"/>
        <v>195702.35897435813</v>
      </c>
      <c r="F230" s="732">
        <f t="shared" si="7"/>
        <v>0</v>
      </c>
      <c r="G230" s="790">
        <f t="shared" si="8"/>
        <v>207018.86350510339</v>
      </c>
      <c r="H230" s="791">
        <f t="shared" si="9"/>
        <v>207018.86350510339</v>
      </c>
      <c r="I230" s="788">
        <f t="shared" si="10"/>
        <v>0</v>
      </c>
      <c r="J230" s="788"/>
      <c r="K230" s="808"/>
      <c r="L230" s="792"/>
      <c r="M230" s="808"/>
      <c r="N230" s="792"/>
      <c r="O230" s="792"/>
    </row>
    <row r="231" spans="3:15">
      <c r="C231" s="784">
        <f>IF(D185="","-",+C230+1)</f>
        <v>2053</v>
      </c>
      <c r="D231" s="732">
        <f t="shared" si="6"/>
        <v>0</v>
      </c>
      <c r="E231" s="785">
        <f t="shared" si="11"/>
        <v>0</v>
      </c>
      <c r="F231" s="732">
        <f t="shared" si="7"/>
        <v>0</v>
      </c>
      <c r="G231" s="790">
        <f t="shared" si="8"/>
        <v>0</v>
      </c>
      <c r="H231" s="791">
        <f t="shared" si="9"/>
        <v>0</v>
      </c>
      <c r="I231" s="788">
        <f t="shared" si="10"/>
        <v>0</v>
      </c>
      <c r="J231" s="788"/>
      <c r="K231" s="808"/>
      <c r="L231" s="792"/>
      <c r="M231" s="808"/>
      <c r="N231" s="792"/>
      <c r="O231" s="792"/>
    </row>
    <row r="232" spans="3:15">
      <c r="C232" s="784">
        <f>IF(D185="","-",+C231+1)</f>
        <v>2054</v>
      </c>
      <c r="D232" s="732">
        <f t="shared" si="6"/>
        <v>0</v>
      </c>
      <c r="E232" s="785">
        <f t="shared" si="11"/>
        <v>0</v>
      </c>
      <c r="F232" s="732">
        <f t="shared" si="7"/>
        <v>0</v>
      </c>
      <c r="G232" s="790">
        <f t="shared" si="8"/>
        <v>0</v>
      </c>
      <c r="H232" s="791">
        <f t="shared" si="9"/>
        <v>0</v>
      </c>
      <c r="I232" s="788">
        <f t="shared" si="10"/>
        <v>0</v>
      </c>
      <c r="J232" s="788"/>
      <c r="K232" s="808"/>
      <c r="L232" s="792"/>
      <c r="M232" s="808"/>
      <c r="N232" s="792"/>
      <c r="O232" s="792"/>
    </row>
    <row r="233" spans="3:15">
      <c r="C233" s="784">
        <f>IF(D185="","-",+C232+1)</f>
        <v>2055</v>
      </c>
      <c r="D233" s="732">
        <f t="shared" si="6"/>
        <v>0</v>
      </c>
      <c r="E233" s="785">
        <f t="shared" si="11"/>
        <v>0</v>
      </c>
      <c r="F233" s="732">
        <f t="shared" si="7"/>
        <v>0</v>
      </c>
      <c r="G233" s="790">
        <f t="shared" si="8"/>
        <v>0</v>
      </c>
      <c r="H233" s="791">
        <f t="shared" si="9"/>
        <v>0</v>
      </c>
      <c r="I233" s="788">
        <f t="shared" si="10"/>
        <v>0</v>
      </c>
      <c r="J233" s="788"/>
      <c r="K233" s="808"/>
      <c r="L233" s="792"/>
      <c r="M233" s="808"/>
      <c r="N233" s="792"/>
      <c r="O233" s="792"/>
    </row>
    <row r="234" spans="3:15">
      <c r="C234" s="784">
        <f>IF(D185="","-",+C233+1)</f>
        <v>2056</v>
      </c>
      <c r="D234" s="732">
        <f t="shared" si="6"/>
        <v>0</v>
      </c>
      <c r="E234" s="785">
        <f t="shared" si="11"/>
        <v>0</v>
      </c>
      <c r="F234" s="732">
        <f t="shared" si="7"/>
        <v>0</v>
      </c>
      <c r="G234" s="790">
        <f t="shared" si="8"/>
        <v>0</v>
      </c>
      <c r="H234" s="791">
        <f t="shared" si="9"/>
        <v>0</v>
      </c>
      <c r="I234" s="788">
        <f t="shared" si="10"/>
        <v>0</v>
      </c>
      <c r="J234" s="788"/>
      <c r="K234" s="808"/>
      <c r="L234" s="792"/>
      <c r="M234" s="808"/>
      <c r="N234" s="792"/>
      <c r="O234" s="792"/>
    </row>
    <row r="235" spans="3:15">
      <c r="C235" s="784">
        <f>IF(D185="","-",+C234+1)</f>
        <v>2057</v>
      </c>
      <c r="D235" s="732">
        <f t="shared" si="6"/>
        <v>0</v>
      </c>
      <c r="E235" s="785">
        <f t="shared" si="11"/>
        <v>0</v>
      </c>
      <c r="F235" s="732">
        <f t="shared" si="7"/>
        <v>0</v>
      </c>
      <c r="G235" s="790">
        <f t="shared" si="8"/>
        <v>0</v>
      </c>
      <c r="H235" s="791">
        <f t="shared" si="9"/>
        <v>0</v>
      </c>
      <c r="I235" s="788">
        <f t="shared" si="10"/>
        <v>0</v>
      </c>
      <c r="J235" s="788"/>
      <c r="K235" s="808"/>
      <c r="L235" s="792"/>
      <c r="M235" s="808"/>
      <c r="N235" s="792"/>
      <c r="O235" s="792"/>
    </row>
    <row r="236" spans="3:15">
      <c r="C236" s="784">
        <f>IF(D185="","-",+C235+1)</f>
        <v>2058</v>
      </c>
      <c r="D236" s="732">
        <f t="shared" si="6"/>
        <v>0</v>
      </c>
      <c r="E236" s="785">
        <f t="shared" si="11"/>
        <v>0</v>
      </c>
      <c r="F236" s="732">
        <f t="shared" si="7"/>
        <v>0</v>
      </c>
      <c r="G236" s="790">
        <f t="shared" si="8"/>
        <v>0</v>
      </c>
      <c r="H236" s="791">
        <f t="shared" si="9"/>
        <v>0</v>
      </c>
      <c r="I236" s="788">
        <f t="shared" si="10"/>
        <v>0</v>
      </c>
      <c r="J236" s="788"/>
      <c r="K236" s="808"/>
      <c r="L236" s="792"/>
      <c r="M236" s="808"/>
      <c r="N236" s="792"/>
      <c r="O236" s="792"/>
    </row>
    <row r="237" spans="3:15">
      <c r="C237" s="784">
        <f>IF(D185="","-",+C236+1)</f>
        <v>2059</v>
      </c>
      <c r="D237" s="732">
        <f t="shared" si="6"/>
        <v>0</v>
      </c>
      <c r="E237" s="785">
        <f t="shared" si="11"/>
        <v>0</v>
      </c>
      <c r="F237" s="732">
        <f t="shared" si="7"/>
        <v>0</v>
      </c>
      <c r="G237" s="790">
        <f t="shared" si="8"/>
        <v>0</v>
      </c>
      <c r="H237" s="791">
        <f t="shared" si="9"/>
        <v>0</v>
      </c>
      <c r="I237" s="788">
        <f t="shared" si="10"/>
        <v>0</v>
      </c>
      <c r="J237" s="788"/>
      <c r="K237" s="808"/>
      <c r="L237" s="792"/>
      <c r="M237" s="808"/>
      <c r="N237" s="792"/>
      <c r="O237" s="792"/>
    </row>
    <row r="238" spans="3:15">
      <c r="C238" s="784">
        <f>IF(D185="","-",+C237+1)</f>
        <v>2060</v>
      </c>
      <c r="D238" s="732">
        <f t="shared" si="6"/>
        <v>0</v>
      </c>
      <c r="E238" s="785">
        <f t="shared" si="11"/>
        <v>0</v>
      </c>
      <c r="F238" s="732">
        <f t="shared" si="7"/>
        <v>0</v>
      </c>
      <c r="G238" s="790">
        <f t="shared" si="8"/>
        <v>0</v>
      </c>
      <c r="H238" s="791">
        <f t="shared" si="9"/>
        <v>0</v>
      </c>
      <c r="I238" s="788">
        <f t="shared" si="10"/>
        <v>0</v>
      </c>
      <c r="J238" s="788"/>
      <c r="K238" s="808"/>
      <c r="L238" s="792"/>
      <c r="M238" s="808"/>
      <c r="N238" s="792"/>
      <c r="O238" s="792"/>
    </row>
    <row r="239" spans="3:15">
      <c r="C239" s="784">
        <f>IF(D185="","-",+C238+1)</f>
        <v>2061</v>
      </c>
      <c r="D239" s="732">
        <f t="shared" si="6"/>
        <v>0</v>
      </c>
      <c r="E239" s="785">
        <f t="shared" si="11"/>
        <v>0</v>
      </c>
      <c r="F239" s="732">
        <f t="shared" si="7"/>
        <v>0</v>
      </c>
      <c r="G239" s="790">
        <f t="shared" si="8"/>
        <v>0</v>
      </c>
      <c r="H239" s="791">
        <f t="shared" si="9"/>
        <v>0</v>
      </c>
      <c r="I239" s="788">
        <f t="shared" si="10"/>
        <v>0</v>
      </c>
      <c r="J239" s="788"/>
      <c r="K239" s="808"/>
      <c r="L239" s="792"/>
      <c r="M239" s="808"/>
      <c r="N239" s="792"/>
      <c r="O239" s="792"/>
    </row>
    <row r="240" spans="3:15">
      <c r="C240" s="784">
        <f>IF(D185="","-",+C239+1)</f>
        <v>2062</v>
      </c>
      <c r="D240" s="732">
        <f t="shared" si="6"/>
        <v>0</v>
      </c>
      <c r="E240" s="785">
        <f t="shared" si="11"/>
        <v>0</v>
      </c>
      <c r="F240" s="732">
        <f t="shared" si="7"/>
        <v>0</v>
      </c>
      <c r="G240" s="790">
        <f t="shared" si="8"/>
        <v>0</v>
      </c>
      <c r="H240" s="791">
        <f t="shared" si="9"/>
        <v>0</v>
      </c>
      <c r="I240" s="788">
        <f t="shared" si="10"/>
        <v>0</v>
      </c>
      <c r="J240" s="788"/>
      <c r="K240" s="808"/>
      <c r="L240" s="792"/>
      <c r="M240" s="808"/>
      <c r="N240" s="792"/>
      <c r="O240" s="792"/>
    </row>
    <row r="241" spans="3:15">
      <c r="C241" s="784">
        <f>IF(D185="","-",+C240+1)</f>
        <v>2063</v>
      </c>
      <c r="D241" s="732">
        <f t="shared" si="6"/>
        <v>0</v>
      </c>
      <c r="E241" s="785">
        <f t="shared" si="11"/>
        <v>0</v>
      </c>
      <c r="F241" s="732">
        <f t="shared" si="7"/>
        <v>0</v>
      </c>
      <c r="G241" s="790">
        <f t="shared" si="8"/>
        <v>0</v>
      </c>
      <c r="H241" s="791">
        <f t="shared" si="9"/>
        <v>0</v>
      </c>
      <c r="I241" s="788">
        <f t="shared" si="10"/>
        <v>0</v>
      </c>
      <c r="J241" s="788"/>
      <c r="K241" s="808"/>
      <c r="L241" s="792"/>
      <c r="M241" s="808"/>
      <c r="N241" s="792"/>
      <c r="O241" s="792"/>
    </row>
    <row r="242" spans="3:15">
      <c r="C242" s="784">
        <f>IF(D185="","-",+C241+1)</f>
        <v>2064</v>
      </c>
      <c r="D242" s="732">
        <f t="shared" si="6"/>
        <v>0</v>
      </c>
      <c r="E242" s="785">
        <f t="shared" si="11"/>
        <v>0</v>
      </c>
      <c r="F242" s="732">
        <f t="shared" si="7"/>
        <v>0</v>
      </c>
      <c r="G242" s="790">
        <f t="shared" si="8"/>
        <v>0</v>
      </c>
      <c r="H242" s="791">
        <f t="shared" si="9"/>
        <v>0</v>
      </c>
      <c r="I242" s="788">
        <f t="shared" si="10"/>
        <v>0</v>
      </c>
      <c r="J242" s="788"/>
      <c r="K242" s="808"/>
      <c r="L242" s="792"/>
      <c r="M242" s="808"/>
      <c r="N242" s="792"/>
      <c r="O242" s="792"/>
    </row>
    <row r="243" spans="3:15">
      <c r="C243" s="784">
        <f>IF(D185="","-",+C242+1)</f>
        <v>2065</v>
      </c>
      <c r="D243" s="732">
        <f t="shared" si="6"/>
        <v>0</v>
      </c>
      <c r="E243" s="785">
        <f t="shared" si="11"/>
        <v>0</v>
      </c>
      <c r="F243" s="732">
        <f t="shared" si="7"/>
        <v>0</v>
      </c>
      <c r="G243" s="790">
        <f t="shared" si="8"/>
        <v>0</v>
      </c>
      <c r="H243" s="791">
        <f t="shared" si="9"/>
        <v>0</v>
      </c>
      <c r="I243" s="788">
        <f t="shared" si="10"/>
        <v>0</v>
      </c>
      <c r="J243" s="788"/>
      <c r="K243" s="808"/>
      <c r="L243" s="792"/>
      <c r="M243" s="808"/>
      <c r="N243" s="792"/>
      <c r="O243" s="792"/>
    </row>
    <row r="244" spans="3:15">
      <c r="C244" s="784">
        <f>IF(D185="","-",+C243+1)</f>
        <v>2066</v>
      </c>
      <c r="D244" s="732">
        <f t="shared" si="6"/>
        <v>0</v>
      </c>
      <c r="E244" s="785">
        <f t="shared" si="11"/>
        <v>0</v>
      </c>
      <c r="F244" s="732">
        <f t="shared" si="7"/>
        <v>0</v>
      </c>
      <c r="G244" s="790">
        <f t="shared" si="8"/>
        <v>0</v>
      </c>
      <c r="H244" s="791">
        <f t="shared" si="9"/>
        <v>0</v>
      </c>
      <c r="I244" s="788">
        <f t="shared" si="10"/>
        <v>0</v>
      </c>
      <c r="J244" s="788"/>
      <c r="K244" s="808"/>
      <c r="L244" s="792"/>
      <c r="M244" s="808"/>
      <c r="N244" s="792"/>
      <c r="O244" s="792"/>
    </row>
    <row r="245" spans="3:15">
      <c r="C245" s="784">
        <f>IF(D185="","-",+C244+1)</f>
        <v>2067</v>
      </c>
      <c r="D245" s="732">
        <f t="shared" si="6"/>
        <v>0</v>
      </c>
      <c r="E245" s="785">
        <f t="shared" si="11"/>
        <v>0</v>
      </c>
      <c r="F245" s="732">
        <f t="shared" si="7"/>
        <v>0</v>
      </c>
      <c r="G245" s="790">
        <f t="shared" si="8"/>
        <v>0</v>
      </c>
      <c r="H245" s="791">
        <f t="shared" si="9"/>
        <v>0</v>
      </c>
      <c r="I245" s="788">
        <f t="shared" si="10"/>
        <v>0</v>
      </c>
      <c r="J245" s="788"/>
      <c r="K245" s="808"/>
      <c r="L245" s="792"/>
      <c r="M245" s="808"/>
      <c r="N245" s="792"/>
      <c r="O245" s="792"/>
    </row>
    <row r="246" spans="3:15">
      <c r="C246" s="784">
        <f>IF(D185="","-",+C245+1)</f>
        <v>2068</v>
      </c>
      <c r="D246" s="732">
        <f t="shared" si="6"/>
        <v>0</v>
      </c>
      <c r="E246" s="785">
        <f t="shared" si="11"/>
        <v>0</v>
      </c>
      <c r="F246" s="732">
        <f t="shared" si="7"/>
        <v>0</v>
      </c>
      <c r="G246" s="790">
        <f t="shared" si="8"/>
        <v>0</v>
      </c>
      <c r="H246" s="791">
        <f t="shared" si="9"/>
        <v>0</v>
      </c>
      <c r="I246" s="788">
        <f t="shared" si="10"/>
        <v>0</v>
      </c>
      <c r="J246" s="788"/>
      <c r="K246" s="808"/>
      <c r="L246" s="792"/>
      <c r="M246" s="808"/>
      <c r="N246" s="792"/>
      <c r="O246" s="792"/>
    </row>
    <row r="247" spans="3:15">
      <c r="C247" s="784">
        <f>IF(D185="","-",+C246+1)</f>
        <v>2069</v>
      </c>
      <c r="D247" s="732">
        <f t="shared" si="6"/>
        <v>0</v>
      </c>
      <c r="E247" s="785">
        <f t="shared" si="11"/>
        <v>0</v>
      </c>
      <c r="F247" s="732">
        <f t="shared" si="7"/>
        <v>0</v>
      </c>
      <c r="G247" s="790">
        <f t="shared" si="8"/>
        <v>0</v>
      </c>
      <c r="H247" s="791">
        <f t="shared" si="9"/>
        <v>0</v>
      </c>
      <c r="I247" s="788">
        <f t="shared" si="10"/>
        <v>0</v>
      </c>
      <c r="J247" s="788"/>
      <c r="K247" s="808"/>
      <c r="L247" s="792"/>
      <c r="M247" s="808"/>
      <c r="N247" s="792"/>
      <c r="O247" s="792"/>
    </row>
    <row r="248" spans="3:15">
      <c r="C248" s="784">
        <f>IF(D185="","-",+C247+1)</f>
        <v>2070</v>
      </c>
      <c r="D248" s="732">
        <f t="shared" si="6"/>
        <v>0</v>
      </c>
      <c r="E248" s="785">
        <f t="shared" si="11"/>
        <v>0</v>
      </c>
      <c r="F248" s="732">
        <f t="shared" si="7"/>
        <v>0</v>
      </c>
      <c r="G248" s="790">
        <f t="shared" si="8"/>
        <v>0</v>
      </c>
      <c r="H248" s="791">
        <f t="shared" si="9"/>
        <v>0</v>
      </c>
      <c r="I248" s="788">
        <f t="shared" si="10"/>
        <v>0</v>
      </c>
      <c r="J248" s="788"/>
      <c r="K248" s="808"/>
      <c r="L248" s="792"/>
      <c r="M248" s="808"/>
      <c r="N248" s="792"/>
      <c r="O248" s="792"/>
    </row>
    <row r="249" spans="3:15">
      <c r="C249" s="784">
        <f>IF(D185="","-",+C248+1)</f>
        <v>2071</v>
      </c>
      <c r="D249" s="732">
        <f t="shared" si="6"/>
        <v>0</v>
      </c>
      <c r="E249" s="785">
        <f t="shared" si="11"/>
        <v>0</v>
      </c>
      <c r="F249" s="732">
        <f t="shared" si="7"/>
        <v>0</v>
      </c>
      <c r="G249" s="790">
        <f t="shared" si="8"/>
        <v>0</v>
      </c>
      <c r="H249" s="791">
        <f t="shared" si="9"/>
        <v>0</v>
      </c>
      <c r="I249" s="788">
        <f t="shared" si="10"/>
        <v>0</v>
      </c>
      <c r="J249" s="788"/>
      <c r="K249" s="808"/>
      <c r="L249" s="792"/>
      <c r="M249" s="808"/>
      <c r="N249" s="792"/>
      <c r="O249" s="792"/>
    </row>
    <row r="250" spans="3:15" ht="13.5" thickBot="1">
      <c r="C250" s="794">
        <f>IF(D185="","-",+C249+1)</f>
        <v>2072</v>
      </c>
      <c r="D250" s="795">
        <f t="shared" si="6"/>
        <v>0</v>
      </c>
      <c r="E250" s="796">
        <f t="shared" si="11"/>
        <v>0</v>
      </c>
      <c r="F250" s="795">
        <f t="shared" si="7"/>
        <v>0</v>
      </c>
      <c r="G250" s="797">
        <f t="shared" si="8"/>
        <v>0</v>
      </c>
      <c r="H250" s="797">
        <f t="shared" si="9"/>
        <v>0</v>
      </c>
      <c r="I250" s="798">
        <f t="shared" si="10"/>
        <v>0</v>
      </c>
      <c r="J250" s="788"/>
      <c r="K250" s="809"/>
      <c r="L250" s="799"/>
      <c r="M250" s="809"/>
      <c r="N250" s="799"/>
      <c r="O250" s="799"/>
    </row>
    <row r="251" spans="3:15">
      <c r="C251" s="732" t="s">
        <v>93</v>
      </c>
      <c r="D251" s="726"/>
      <c r="E251" s="726">
        <f>SUM(E191:E250)</f>
        <v>15264784</v>
      </c>
      <c r="F251" s="726"/>
      <c r="G251" s="726">
        <f>SUM(G191:G250)</f>
        <v>50572278.135925412</v>
      </c>
      <c r="H251" s="726">
        <f>SUM(H191:H250)</f>
        <v>50572278.135925412</v>
      </c>
      <c r="I251" s="726">
        <f>SUM(I191:I250)</f>
        <v>0</v>
      </c>
      <c r="J251" s="726"/>
      <c r="K251" s="726"/>
      <c r="L251" s="726"/>
      <c r="M251" s="726"/>
      <c r="N251" s="726"/>
      <c r="O251" s="313"/>
    </row>
    <row r="252" spans="3:15">
      <c r="D252" s="534"/>
      <c r="E252" s="313"/>
      <c r="F252" s="313"/>
      <c r="G252" s="313"/>
      <c r="H252" s="704"/>
      <c r="I252" s="704"/>
      <c r="J252" s="726"/>
      <c r="K252" s="704"/>
      <c r="L252" s="704"/>
      <c r="M252" s="704"/>
      <c r="N252" s="704"/>
      <c r="O252" s="313"/>
    </row>
    <row r="253" spans="3:15">
      <c r="C253" s="313" t="s">
        <v>15</v>
      </c>
      <c r="D253" s="534"/>
      <c r="E253" s="313"/>
      <c r="F253" s="313"/>
      <c r="G253" s="313"/>
      <c r="H253" s="704"/>
      <c r="I253" s="704"/>
      <c r="J253" s="726"/>
      <c r="K253" s="704"/>
      <c r="L253" s="704"/>
      <c r="M253" s="704"/>
      <c r="N253" s="704"/>
      <c r="O253" s="313"/>
    </row>
    <row r="254" spans="3:15">
      <c r="C254" s="313"/>
      <c r="D254" s="534"/>
      <c r="E254" s="313"/>
      <c r="F254" s="313"/>
      <c r="G254" s="313"/>
      <c r="H254" s="704"/>
      <c r="I254" s="704"/>
      <c r="J254" s="726"/>
      <c r="K254" s="704"/>
      <c r="L254" s="704"/>
      <c r="M254" s="704"/>
      <c r="N254" s="704"/>
      <c r="O254" s="313"/>
    </row>
    <row r="255" spans="3:15">
      <c r="C255" s="745" t="s">
        <v>16</v>
      </c>
      <c r="D255" s="732"/>
      <c r="E255" s="732"/>
      <c r="F255" s="732"/>
      <c r="G255" s="726"/>
      <c r="H255" s="726"/>
      <c r="I255" s="800"/>
      <c r="J255" s="800"/>
      <c r="K255" s="800"/>
      <c r="L255" s="800"/>
      <c r="M255" s="800"/>
      <c r="N255" s="800"/>
      <c r="O255" s="313"/>
    </row>
    <row r="256" spans="3:15">
      <c r="C256" s="731" t="s">
        <v>273</v>
      </c>
      <c r="D256" s="732"/>
      <c r="E256" s="732"/>
      <c r="F256" s="732"/>
      <c r="G256" s="726"/>
      <c r="H256" s="726"/>
      <c r="I256" s="800"/>
      <c r="J256" s="800"/>
      <c r="K256" s="800"/>
      <c r="L256" s="800"/>
      <c r="M256" s="800"/>
      <c r="N256" s="800"/>
      <c r="O256" s="313"/>
    </row>
    <row r="257" spans="1:16">
      <c r="C257" s="731" t="s">
        <v>94</v>
      </c>
      <c r="D257" s="732"/>
      <c r="E257" s="732"/>
      <c r="F257" s="732"/>
      <c r="G257" s="726"/>
      <c r="H257" s="726"/>
      <c r="I257" s="800"/>
      <c r="J257" s="800"/>
      <c r="K257" s="800"/>
      <c r="L257" s="800"/>
      <c r="M257" s="800"/>
      <c r="N257" s="800"/>
      <c r="O257" s="313"/>
    </row>
    <row r="258" spans="1:16">
      <c r="C258" s="731"/>
      <c r="D258" s="732"/>
      <c r="E258" s="732"/>
      <c r="F258" s="732"/>
      <c r="G258" s="726"/>
      <c r="H258" s="726"/>
      <c r="I258" s="800"/>
      <c r="J258" s="800"/>
      <c r="K258" s="800"/>
      <c r="L258" s="800"/>
      <c r="M258" s="800"/>
      <c r="N258" s="800"/>
      <c r="O258" s="313"/>
    </row>
    <row r="259" spans="1:16">
      <c r="C259" s="1556" t="s">
        <v>8</v>
      </c>
      <c r="D259" s="1556"/>
      <c r="E259" s="1556"/>
      <c r="F259" s="1556"/>
      <c r="G259" s="1556"/>
      <c r="H259" s="1556"/>
      <c r="I259" s="1556"/>
      <c r="J259" s="1556"/>
      <c r="K259" s="1556"/>
      <c r="L259" s="1556"/>
      <c r="M259" s="1556"/>
      <c r="N259" s="1556"/>
      <c r="O259" s="1556"/>
    </row>
    <row r="260" spans="1:16">
      <c r="C260" s="1556"/>
      <c r="D260" s="1556"/>
      <c r="E260" s="1556"/>
      <c r="F260" s="1556"/>
      <c r="G260" s="1556"/>
      <c r="H260" s="1556"/>
      <c r="I260" s="1556"/>
      <c r="J260" s="1556"/>
      <c r="K260" s="1556"/>
      <c r="L260" s="1556"/>
      <c r="M260" s="1556"/>
      <c r="N260" s="1556"/>
      <c r="O260" s="1556"/>
    </row>
    <row r="261" spans="1:16" ht="20.25">
      <c r="A261" s="733" t="str">
        <f>""&amp;A185&amp;" Worksheet J -  ATRR PROJECTED Calculation for PJM Projects Charged to Benefiting Zones"</f>
        <v xml:space="preserve"> Worksheet J -  ATRR PROJECTED Calculation for PJM Projects Charged to Benefiting Zones</v>
      </c>
      <c r="B261" s="346"/>
      <c r="C261" s="721"/>
      <c r="D261" s="534"/>
      <c r="E261" s="313"/>
      <c r="F261" s="703"/>
      <c r="G261" s="313"/>
      <c r="H261" s="704"/>
      <c r="K261" s="560"/>
      <c r="L261" s="560"/>
      <c r="M261" s="560"/>
      <c r="N261" s="649" t="str">
        <f>"Page "&amp;SUM(P$8:P261)&amp;" of "</f>
        <v xml:space="preserve">Page 4 of </v>
      </c>
      <c r="O261" s="650">
        <f>COUNT(P$8:P$56656)</f>
        <v>11</v>
      </c>
      <c r="P261" s="173">
        <v>1</v>
      </c>
    </row>
    <row r="262" spans="1:16">
      <c r="B262" s="346"/>
      <c r="C262" s="313"/>
      <c r="D262" s="534"/>
      <c r="E262" s="313"/>
      <c r="F262" s="313"/>
      <c r="G262" s="313"/>
      <c r="H262" s="704"/>
      <c r="I262" s="313"/>
      <c r="J262" s="423"/>
      <c r="K262" s="313"/>
      <c r="L262" s="313"/>
      <c r="M262" s="313"/>
      <c r="N262" s="313"/>
      <c r="O262" s="313"/>
    </row>
    <row r="263" spans="1:16" ht="18">
      <c r="B263" s="653" t="s">
        <v>474</v>
      </c>
      <c r="C263" s="735" t="s">
        <v>95</v>
      </c>
      <c r="D263" s="534"/>
      <c r="E263" s="313"/>
      <c r="F263" s="313"/>
      <c r="G263" s="313"/>
      <c r="H263" s="704"/>
      <c r="I263" s="704"/>
      <c r="J263" s="726"/>
      <c r="K263" s="704"/>
      <c r="L263" s="704"/>
      <c r="M263" s="704"/>
      <c r="N263" s="704"/>
      <c r="O263" s="313"/>
    </row>
    <row r="264" spans="1:16" ht="18.75">
      <c r="B264" s="653"/>
      <c r="C264" s="652"/>
      <c r="D264" s="534"/>
      <c r="E264" s="313"/>
      <c r="F264" s="313"/>
      <c r="G264" s="313"/>
      <c r="H264" s="704"/>
      <c r="I264" s="704"/>
      <c r="J264" s="726"/>
      <c r="K264" s="704"/>
      <c r="L264" s="704"/>
      <c r="M264" s="704"/>
      <c r="N264" s="704"/>
      <c r="O264" s="313"/>
    </row>
    <row r="265" spans="1:16" ht="18.75">
      <c r="B265" s="653"/>
      <c r="C265" s="652" t="s">
        <v>96</v>
      </c>
      <c r="D265" s="534"/>
      <c r="E265" s="313"/>
      <c r="F265" s="313"/>
      <c r="G265" s="313"/>
      <c r="H265" s="704"/>
      <c r="I265" s="704"/>
      <c r="J265" s="726"/>
      <c r="K265" s="704"/>
      <c r="L265" s="704"/>
      <c r="M265" s="704"/>
      <c r="N265" s="704"/>
      <c r="O265" s="313"/>
    </row>
    <row r="266" spans="1:16" ht="15.75" thickBot="1">
      <c r="C266" s="240"/>
      <c r="D266" s="534"/>
      <c r="E266" s="313"/>
      <c r="F266" s="313"/>
      <c r="G266" s="313"/>
      <c r="H266" s="704"/>
      <c r="I266" s="704"/>
      <c r="J266" s="726"/>
      <c r="K266" s="704"/>
      <c r="L266" s="704"/>
      <c r="M266" s="704"/>
      <c r="N266" s="704"/>
      <c r="O266" s="313"/>
    </row>
    <row r="267" spans="1:16" ht="15.75">
      <c r="C267" s="655" t="s">
        <v>97</v>
      </c>
      <c r="D267" s="534"/>
      <c r="E267" s="313"/>
      <c r="F267" s="313"/>
      <c r="G267" s="802"/>
      <c r="H267" s="313" t="s">
        <v>76</v>
      </c>
      <c r="I267" s="313"/>
      <c r="J267" s="423"/>
      <c r="K267" s="736" t="s">
        <v>101</v>
      </c>
      <c r="L267" s="737"/>
      <c r="M267" s="738"/>
      <c r="N267" s="739">
        <f>IF(I273=0,0,VLOOKUP(I273,C280:O339,5))</f>
        <v>691154.36431882647</v>
      </c>
      <c r="O267" s="313"/>
    </row>
    <row r="268" spans="1:16" ht="15.75">
      <c r="C268" s="655"/>
      <c r="D268" s="534"/>
      <c r="E268" s="313"/>
      <c r="F268" s="313"/>
      <c r="G268" s="313"/>
      <c r="H268" s="740"/>
      <c r="I268" s="740"/>
      <c r="J268" s="741"/>
      <c r="K268" s="742" t="s">
        <v>102</v>
      </c>
      <c r="L268" s="743"/>
      <c r="M268" s="423"/>
      <c r="N268" s="744">
        <f>IF(I273=0,0,VLOOKUP(I273,C280:O339,6))</f>
        <v>691154.36431882647</v>
      </c>
      <c r="O268" s="313"/>
    </row>
    <row r="269" spans="1:16" ht="13.5" thickBot="1">
      <c r="C269" s="745" t="s">
        <v>98</v>
      </c>
      <c r="D269" s="1557" t="s">
        <v>817</v>
      </c>
      <c r="E269" s="1557"/>
      <c r="F269" s="1557"/>
      <c r="G269" s="1557"/>
      <c r="H269" s="1557"/>
      <c r="I269" s="1557"/>
      <c r="J269" s="726"/>
      <c r="K269" s="746" t="s">
        <v>240</v>
      </c>
      <c r="L269" s="747"/>
      <c r="M269" s="747"/>
      <c r="N269" s="748">
        <f>+N268-N267</f>
        <v>0</v>
      </c>
      <c r="O269" s="313"/>
    </row>
    <row r="270" spans="1:16">
      <c r="C270" s="749"/>
      <c r="D270" s="1557"/>
      <c r="E270" s="1557"/>
      <c r="F270" s="1557"/>
      <c r="G270" s="1557"/>
      <c r="H270" s="1557"/>
      <c r="I270" s="1557"/>
      <c r="J270" s="726"/>
      <c r="K270" s="704"/>
      <c r="L270" s="704"/>
      <c r="M270" s="704"/>
      <c r="N270" s="704"/>
      <c r="O270" s="313"/>
    </row>
    <row r="271" spans="1:16" ht="13.5" thickBot="1">
      <c r="C271" s="752"/>
      <c r="D271" s="753"/>
      <c r="E271" s="751"/>
      <c r="F271" s="751"/>
      <c r="G271" s="751"/>
      <c r="H271" s="751"/>
      <c r="I271" s="751"/>
      <c r="J271" s="754"/>
      <c r="K271" s="751"/>
      <c r="L271" s="751"/>
      <c r="M271" s="751"/>
      <c r="N271" s="751"/>
      <c r="O271" s="346"/>
    </row>
    <row r="272" spans="1:16" ht="13.5" thickBot="1">
      <c r="C272" s="755" t="s">
        <v>99</v>
      </c>
      <c r="D272" s="756"/>
      <c r="E272" s="756"/>
      <c r="F272" s="756"/>
      <c r="G272" s="756"/>
      <c r="H272" s="756"/>
      <c r="I272" s="757"/>
      <c r="J272" s="758"/>
      <c r="K272" s="313"/>
      <c r="L272" s="313"/>
      <c r="M272" s="313"/>
      <c r="N272" s="313"/>
      <c r="O272" s="759"/>
    </row>
    <row r="273" spans="2:15" ht="15">
      <c r="C273" s="760" t="s">
        <v>77</v>
      </c>
      <c r="D273" s="804">
        <v>5805543</v>
      </c>
      <c r="E273" s="721" t="s">
        <v>78</v>
      </c>
      <c r="G273" s="761"/>
      <c r="H273" s="761"/>
      <c r="I273" s="762">
        <f>$L$26</f>
        <v>2021</v>
      </c>
      <c r="J273" s="550"/>
      <c r="K273" s="1558" t="s">
        <v>249</v>
      </c>
      <c r="L273" s="1558"/>
      <c r="M273" s="1558"/>
      <c r="N273" s="1558"/>
      <c r="O273" s="1558"/>
    </row>
    <row r="274" spans="2:15">
      <c r="C274" s="760" t="s">
        <v>80</v>
      </c>
      <c r="D274" s="805">
        <v>2013</v>
      </c>
      <c r="E274" s="760" t="s">
        <v>81</v>
      </c>
      <c r="F274" s="761"/>
      <c r="H274" s="173"/>
      <c r="I274" s="806">
        <f>IF(G267="",0,$F$17)</f>
        <v>0</v>
      </c>
      <c r="J274" s="763"/>
      <c r="K274" s="726" t="s">
        <v>249</v>
      </c>
    </row>
    <row r="275" spans="2:15">
      <c r="C275" s="760" t="s">
        <v>82</v>
      </c>
      <c r="D275" s="804">
        <v>12</v>
      </c>
      <c r="E275" s="760" t="s">
        <v>83</v>
      </c>
      <c r="F275" s="761"/>
      <c r="H275" s="173"/>
      <c r="I275" s="764">
        <f>$G$70</f>
        <v>0.11565015966136639</v>
      </c>
      <c r="J275" s="765"/>
      <c r="K275" s="173" t="str">
        <f>"          INPUT PROJECTED ARR (WITH &amp; WITHOUT INCENTIVES) FROM EACH PRIOR YEAR"</f>
        <v xml:space="preserve">          INPUT PROJECTED ARR (WITH &amp; WITHOUT INCENTIVES) FROM EACH PRIOR YEAR</v>
      </c>
    </row>
    <row r="276" spans="2:15">
      <c r="C276" s="760" t="s">
        <v>84</v>
      </c>
      <c r="D276" s="766">
        <f>$G$79</f>
        <v>39</v>
      </c>
      <c r="E276" s="760" t="s">
        <v>85</v>
      </c>
      <c r="F276" s="761"/>
      <c r="H276" s="173"/>
      <c r="I276" s="764">
        <f>IF(G267="",I275,$G$69)</f>
        <v>0.11565015966136639</v>
      </c>
      <c r="J276" s="767"/>
      <c r="K276" s="173" t="s">
        <v>162</v>
      </c>
    </row>
    <row r="277" spans="2:15" ht="13.5" thickBot="1">
      <c r="C277" s="760" t="s">
        <v>86</v>
      </c>
      <c r="D277" s="803" t="s">
        <v>814</v>
      </c>
      <c r="E277" s="768" t="s">
        <v>87</v>
      </c>
      <c r="F277" s="769"/>
      <c r="G277" s="770"/>
      <c r="H277" s="770"/>
      <c r="I277" s="748">
        <f>IF(D273=0,0,D273/D276)</f>
        <v>148860.07692307694</v>
      </c>
      <c r="J277" s="726"/>
      <c r="K277" s="726" t="s">
        <v>168</v>
      </c>
      <c r="L277" s="726"/>
      <c r="M277" s="726"/>
      <c r="N277" s="726"/>
      <c r="O277" s="423"/>
    </row>
    <row r="278" spans="2:15" ht="51">
      <c r="B278" s="841"/>
      <c r="C278" s="771" t="s">
        <v>77</v>
      </c>
      <c r="D278" s="772" t="s">
        <v>88</v>
      </c>
      <c r="E278" s="773" t="s">
        <v>89</v>
      </c>
      <c r="F278" s="772" t="s">
        <v>90</v>
      </c>
      <c r="G278" s="773" t="s">
        <v>161</v>
      </c>
      <c r="H278" s="774" t="s">
        <v>161</v>
      </c>
      <c r="I278" s="771" t="s">
        <v>100</v>
      </c>
      <c r="J278" s="775"/>
      <c r="K278" s="773" t="s">
        <v>170</v>
      </c>
      <c r="L278" s="776"/>
      <c r="M278" s="773" t="s">
        <v>170</v>
      </c>
      <c r="N278" s="776"/>
      <c r="O278" s="776"/>
    </row>
    <row r="279" spans="2:15" ht="13.5" thickBot="1">
      <c r="C279" s="777" t="s">
        <v>477</v>
      </c>
      <c r="D279" s="778" t="s">
        <v>478</v>
      </c>
      <c r="E279" s="777" t="s">
        <v>371</v>
      </c>
      <c r="F279" s="778" t="s">
        <v>478</v>
      </c>
      <c r="G279" s="779" t="s">
        <v>103</v>
      </c>
      <c r="H279" s="780" t="s">
        <v>105</v>
      </c>
      <c r="I279" s="781" t="s">
        <v>17</v>
      </c>
      <c r="J279" s="782"/>
      <c r="K279" s="779" t="s">
        <v>92</v>
      </c>
      <c r="L279" s="783"/>
      <c r="M279" s="779" t="s">
        <v>105</v>
      </c>
      <c r="N279" s="783"/>
      <c r="O279" s="783"/>
    </row>
    <row r="280" spans="2:15">
      <c r="C280" s="784">
        <f>IF(D274= "","-",D274)</f>
        <v>2013</v>
      </c>
      <c r="D280" s="732">
        <f>+D273</f>
        <v>5805543</v>
      </c>
      <c r="E280" s="785">
        <f>+I277/12*(12-D275)</f>
        <v>0</v>
      </c>
      <c r="F280" s="732">
        <f>+D280-E280</f>
        <v>5805543</v>
      </c>
      <c r="G280" s="993">
        <f>+$I$96*((D280+F280)/2)+E280</f>
        <v>671411.9748709281</v>
      </c>
      <c r="H280" s="994">
        <f>$I$97*((D280+F280)/2)+E280</f>
        <v>671411.9748709281</v>
      </c>
      <c r="I280" s="788">
        <f>+H280-G280</f>
        <v>0</v>
      </c>
      <c r="J280" s="788"/>
      <c r="K280" s="807">
        <v>461439</v>
      </c>
      <c r="L280" s="789"/>
      <c r="M280" s="807">
        <v>461439</v>
      </c>
      <c r="N280" s="789"/>
      <c r="O280" s="789"/>
    </row>
    <row r="281" spans="2:15">
      <c r="C281" s="784">
        <f>IF(D274="","-",+C280+1)</f>
        <v>2014</v>
      </c>
      <c r="D281" s="732">
        <f t="shared" ref="D281:D339" si="12">F280</f>
        <v>5805543</v>
      </c>
      <c r="E281" s="785">
        <f>IF(D281&gt;$I$277,$I$277,D281)</f>
        <v>148860.07692307694</v>
      </c>
      <c r="F281" s="732">
        <f t="shared" ref="F281:F339" si="13">+D281-E281</f>
        <v>5656682.923076923</v>
      </c>
      <c r="G281" s="790">
        <f t="shared" ref="G281:G339" si="14">+$I$96*((D281+F281)/2)+E281</f>
        <v>811664.20596232638</v>
      </c>
      <c r="H281" s="791">
        <f t="shared" ref="H281:H339" si="15">$I$97*((D281+F281)/2)+E281</f>
        <v>811664.20596232638</v>
      </c>
      <c r="I281" s="788">
        <f t="shared" ref="I281:I339" si="16">+H281-G281</f>
        <v>0</v>
      </c>
      <c r="J281" s="788"/>
      <c r="K281" s="808">
        <v>626067</v>
      </c>
      <c r="L281" s="792"/>
      <c r="M281" s="808">
        <v>626067</v>
      </c>
      <c r="N281" s="792"/>
      <c r="O281" s="792"/>
    </row>
    <row r="282" spans="2:15">
      <c r="C282" s="784">
        <f>IF(D274="","-",+C281+1)</f>
        <v>2015</v>
      </c>
      <c r="D282" s="732">
        <f t="shared" si="12"/>
        <v>5656682.923076923</v>
      </c>
      <c r="E282" s="785">
        <f t="shared" ref="E282:E339" si="17">IF(D282&gt;$I$277,$I$277,D282)</f>
        <v>148860.07692307694</v>
      </c>
      <c r="F282" s="732">
        <f t="shared" si="13"/>
        <v>5507822.846153846</v>
      </c>
      <c r="G282" s="790">
        <f t="shared" si="14"/>
        <v>794448.51429896918</v>
      </c>
      <c r="H282" s="791">
        <f t="shared" si="15"/>
        <v>794448.51429896918</v>
      </c>
      <c r="I282" s="788">
        <f t="shared" si="16"/>
        <v>0</v>
      </c>
      <c r="J282" s="788"/>
      <c r="K282" s="808">
        <v>697699</v>
      </c>
      <c r="L282" s="792"/>
      <c r="M282" s="808">
        <v>697699</v>
      </c>
      <c r="N282" s="792"/>
      <c r="O282" s="792"/>
    </row>
    <row r="283" spans="2:15">
      <c r="C283" s="784">
        <f>IF(D274="","-",+C282+1)</f>
        <v>2016</v>
      </c>
      <c r="D283" s="732">
        <f t="shared" si="12"/>
        <v>5507822.846153846</v>
      </c>
      <c r="E283" s="785">
        <f t="shared" si="17"/>
        <v>148860.07692307694</v>
      </c>
      <c r="F283" s="732">
        <f t="shared" si="13"/>
        <v>5358962.769230769</v>
      </c>
      <c r="G283" s="790">
        <f t="shared" si="14"/>
        <v>777232.82263561222</v>
      </c>
      <c r="H283" s="791">
        <f t="shared" si="15"/>
        <v>777232.82263561222</v>
      </c>
      <c r="I283" s="788">
        <f t="shared" si="16"/>
        <v>0</v>
      </c>
      <c r="J283" s="788"/>
      <c r="K283" s="808">
        <v>692483</v>
      </c>
      <c r="L283" s="792"/>
      <c r="M283" s="808">
        <v>692483</v>
      </c>
      <c r="N283" s="792"/>
      <c r="O283" s="792"/>
    </row>
    <row r="284" spans="2:15">
      <c r="C284" s="784">
        <f>IF(D274="","-",+C283+1)</f>
        <v>2017</v>
      </c>
      <c r="D284" s="732">
        <f t="shared" si="12"/>
        <v>5358962.769230769</v>
      </c>
      <c r="E284" s="785">
        <f t="shared" si="17"/>
        <v>148860.07692307694</v>
      </c>
      <c r="F284" s="732">
        <f t="shared" si="13"/>
        <v>5210102.692307692</v>
      </c>
      <c r="G284" s="790">
        <f t="shared" si="14"/>
        <v>760017.13097225502</v>
      </c>
      <c r="H284" s="791">
        <f t="shared" si="15"/>
        <v>760017.13097225502</v>
      </c>
      <c r="I284" s="788">
        <f t="shared" si="16"/>
        <v>0</v>
      </c>
      <c r="J284" s="788"/>
      <c r="K284" s="808">
        <v>737310</v>
      </c>
      <c r="L284" s="792"/>
      <c r="M284" s="808">
        <v>737310</v>
      </c>
      <c r="N284" s="792"/>
      <c r="O284" s="792"/>
    </row>
    <row r="285" spans="2:15">
      <c r="C285" s="1327">
        <f>IF(D274="","-",+C284+1)</f>
        <v>2018</v>
      </c>
      <c r="D285" s="732">
        <f t="shared" si="12"/>
        <v>5210102.692307692</v>
      </c>
      <c r="E285" s="785">
        <f t="shared" si="17"/>
        <v>148860.07692307694</v>
      </c>
      <c r="F285" s="732">
        <f t="shared" si="13"/>
        <v>5061242.615384615</v>
      </c>
      <c r="G285" s="790">
        <f t="shared" si="14"/>
        <v>742801.43930889782</v>
      </c>
      <c r="H285" s="791">
        <f t="shared" si="15"/>
        <v>742801.43930889782</v>
      </c>
      <c r="I285" s="788">
        <f t="shared" si="16"/>
        <v>0</v>
      </c>
      <c r="J285" s="788"/>
      <c r="K285" s="808">
        <v>631912</v>
      </c>
      <c r="L285" s="792"/>
      <c r="M285" s="808">
        <v>631912</v>
      </c>
      <c r="N285" s="792"/>
      <c r="O285" s="792"/>
    </row>
    <row r="286" spans="2:15">
      <c r="C286" s="1304">
        <f>IF(D274="","-",+C285+1)</f>
        <v>2019</v>
      </c>
      <c r="D286" s="732">
        <f t="shared" si="12"/>
        <v>5061242.615384615</v>
      </c>
      <c r="E286" s="785">
        <f t="shared" si="17"/>
        <v>148860.07692307694</v>
      </c>
      <c r="F286" s="732">
        <f t="shared" si="13"/>
        <v>4912382.538461538</v>
      </c>
      <c r="G286" s="790">
        <f t="shared" si="14"/>
        <v>725585.74764554063</v>
      </c>
      <c r="H286" s="791">
        <f t="shared" si="15"/>
        <v>725585.74764554063</v>
      </c>
      <c r="I286" s="788">
        <f t="shared" si="16"/>
        <v>0</v>
      </c>
      <c r="J286" s="788"/>
      <c r="K286" s="808"/>
      <c r="L286" s="792"/>
      <c r="M286" s="808"/>
      <c r="N286" s="792"/>
      <c r="O286" s="792"/>
    </row>
    <row r="287" spans="2:15">
      <c r="C287" s="784">
        <f>IF(D274="","-",+C286+1)</f>
        <v>2020</v>
      </c>
      <c r="D287" s="732">
        <f t="shared" si="12"/>
        <v>4912382.538461538</v>
      </c>
      <c r="E287" s="785">
        <f t="shared" si="17"/>
        <v>148860.07692307694</v>
      </c>
      <c r="F287" s="732">
        <f t="shared" si="13"/>
        <v>4763522.461538461</v>
      </c>
      <c r="G287" s="790">
        <f t="shared" si="14"/>
        <v>708370.05598218367</v>
      </c>
      <c r="H287" s="791">
        <f t="shared" si="15"/>
        <v>708370.05598218367</v>
      </c>
      <c r="I287" s="788">
        <f t="shared" si="16"/>
        <v>0</v>
      </c>
      <c r="J287" s="788"/>
      <c r="K287" s="808"/>
      <c r="L287" s="792"/>
      <c r="M287" s="808"/>
      <c r="N287" s="792"/>
      <c r="O287" s="792"/>
    </row>
    <row r="288" spans="2:15">
      <c r="C288" s="784">
        <f>IF(D274="","-",+C287+1)</f>
        <v>2021</v>
      </c>
      <c r="D288" s="732">
        <f t="shared" si="12"/>
        <v>4763522.461538461</v>
      </c>
      <c r="E288" s="785">
        <f t="shared" si="17"/>
        <v>148860.07692307694</v>
      </c>
      <c r="F288" s="732">
        <f t="shared" si="13"/>
        <v>4614662.384615384</v>
      </c>
      <c r="G288" s="790">
        <f t="shared" si="14"/>
        <v>691154.36431882647</v>
      </c>
      <c r="H288" s="791">
        <f t="shared" si="15"/>
        <v>691154.36431882647</v>
      </c>
      <c r="I288" s="788">
        <f t="shared" si="16"/>
        <v>0</v>
      </c>
      <c r="J288" s="788"/>
      <c r="K288" s="808"/>
      <c r="L288" s="792"/>
      <c r="M288" s="808"/>
      <c r="N288" s="792"/>
      <c r="O288" s="792"/>
    </row>
    <row r="289" spans="3:15">
      <c r="C289" s="784">
        <f>IF(D274="","-",+C288+1)</f>
        <v>2022</v>
      </c>
      <c r="D289" s="732">
        <f t="shared" si="12"/>
        <v>4614662.384615384</v>
      </c>
      <c r="E289" s="785">
        <f t="shared" si="17"/>
        <v>148860.07692307694</v>
      </c>
      <c r="F289" s="732">
        <f t="shared" si="13"/>
        <v>4465802.307692307</v>
      </c>
      <c r="G289" s="790">
        <f t="shared" si="14"/>
        <v>673938.67265546927</v>
      </c>
      <c r="H289" s="791">
        <f t="shared" si="15"/>
        <v>673938.67265546927</v>
      </c>
      <c r="I289" s="788">
        <f t="shared" si="16"/>
        <v>0</v>
      </c>
      <c r="J289" s="788"/>
      <c r="K289" s="808"/>
      <c r="L289" s="792"/>
      <c r="M289" s="808"/>
      <c r="N289" s="792"/>
      <c r="O289" s="792"/>
    </row>
    <row r="290" spans="3:15">
      <c r="C290" s="784">
        <f>IF(D274="","-",+C289+1)</f>
        <v>2023</v>
      </c>
      <c r="D290" s="732">
        <f t="shared" si="12"/>
        <v>4465802.307692307</v>
      </c>
      <c r="E290" s="785">
        <f t="shared" si="17"/>
        <v>148860.07692307694</v>
      </c>
      <c r="F290" s="732">
        <f t="shared" si="13"/>
        <v>4316942.2307692301</v>
      </c>
      <c r="G290" s="790">
        <f t="shared" si="14"/>
        <v>656722.98099211208</v>
      </c>
      <c r="H290" s="791">
        <f t="shared" si="15"/>
        <v>656722.98099211208</v>
      </c>
      <c r="I290" s="788">
        <f t="shared" si="16"/>
        <v>0</v>
      </c>
      <c r="J290" s="788"/>
      <c r="K290" s="808"/>
      <c r="L290" s="792"/>
      <c r="M290" s="808"/>
      <c r="N290" s="792"/>
      <c r="O290" s="792"/>
    </row>
    <row r="291" spans="3:15">
      <c r="C291" s="784">
        <f>IF(D274="","-",+C290+1)</f>
        <v>2024</v>
      </c>
      <c r="D291" s="732">
        <f t="shared" si="12"/>
        <v>4316942.2307692301</v>
      </c>
      <c r="E291" s="785">
        <f t="shared" si="17"/>
        <v>148860.07692307694</v>
      </c>
      <c r="F291" s="732">
        <f t="shared" si="13"/>
        <v>4168082.1538461531</v>
      </c>
      <c r="G291" s="790">
        <f t="shared" si="14"/>
        <v>639507.28932875511</v>
      </c>
      <c r="H291" s="791">
        <f t="shared" si="15"/>
        <v>639507.28932875511</v>
      </c>
      <c r="I291" s="788">
        <f t="shared" si="16"/>
        <v>0</v>
      </c>
      <c r="J291" s="788"/>
      <c r="K291" s="808"/>
      <c r="L291" s="792"/>
      <c r="M291" s="808"/>
      <c r="N291" s="792"/>
      <c r="O291" s="792"/>
    </row>
    <row r="292" spans="3:15">
      <c r="C292" s="784">
        <f>IF(D274="","-",+C291+1)</f>
        <v>2025</v>
      </c>
      <c r="D292" s="732">
        <f t="shared" si="12"/>
        <v>4168082.1538461531</v>
      </c>
      <c r="E292" s="785">
        <f t="shared" si="17"/>
        <v>148860.07692307694</v>
      </c>
      <c r="F292" s="732">
        <f t="shared" si="13"/>
        <v>4019222.0769230761</v>
      </c>
      <c r="G292" s="790">
        <f t="shared" si="14"/>
        <v>622291.59766539792</v>
      </c>
      <c r="H292" s="791">
        <f t="shared" si="15"/>
        <v>622291.59766539792</v>
      </c>
      <c r="I292" s="788">
        <f t="shared" si="16"/>
        <v>0</v>
      </c>
      <c r="J292" s="788"/>
      <c r="K292" s="808"/>
      <c r="L292" s="792"/>
      <c r="M292" s="808"/>
      <c r="N292" s="793"/>
      <c r="O292" s="792"/>
    </row>
    <row r="293" spans="3:15">
      <c r="C293" s="784">
        <f>IF(D274="","-",+C292+1)</f>
        <v>2026</v>
      </c>
      <c r="D293" s="732">
        <f t="shared" si="12"/>
        <v>4019222.0769230761</v>
      </c>
      <c r="E293" s="785">
        <f t="shared" si="17"/>
        <v>148860.07692307694</v>
      </c>
      <c r="F293" s="732">
        <f t="shared" si="13"/>
        <v>3870361.9999999991</v>
      </c>
      <c r="G293" s="790">
        <f t="shared" si="14"/>
        <v>605075.90600204072</v>
      </c>
      <c r="H293" s="791">
        <f t="shared" si="15"/>
        <v>605075.90600204072</v>
      </c>
      <c r="I293" s="788">
        <f t="shared" si="16"/>
        <v>0</v>
      </c>
      <c r="J293" s="788"/>
      <c r="K293" s="808"/>
      <c r="L293" s="792"/>
      <c r="M293" s="808"/>
      <c r="N293" s="792"/>
      <c r="O293" s="792"/>
    </row>
    <row r="294" spans="3:15">
      <c r="C294" s="784">
        <f>IF(D274="","-",+C293+1)</f>
        <v>2027</v>
      </c>
      <c r="D294" s="732">
        <f t="shared" si="12"/>
        <v>3870361.9999999991</v>
      </c>
      <c r="E294" s="785">
        <f t="shared" si="17"/>
        <v>148860.07692307694</v>
      </c>
      <c r="F294" s="732">
        <f t="shared" si="13"/>
        <v>3721501.9230769221</v>
      </c>
      <c r="G294" s="790">
        <f t="shared" si="14"/>
        <v>587860.21433868364</v>
      </c>
      <c r="H294" s="791">
        <f t="shared" si="15"/>
        <v>587860.21433868364</v>
      </c>
      <c r="I294" s="788">
        <f t="shared" si="16"/>
        <v>0</v>
      </c>
      <c r="J294" s="788"/>
      <c r="K294" s="808"/>
      <c r="L294" s="792"/>
      <c r="M294" s="808"/>
      <c r="N294" s="792"/>
      <c r="O294" s="792"/>
    </row>
    <row r="295" spans="3:15">
      <c r="C295" s="784">
        <f>IF(D274="","-",+C294+1)</f>
        <v>2028</v>
      </c>
      <c r="D295" s="732">
        <f t="shared" si="12"/>
        <v>3721501.9230769221</v>
      </c>
      <c r="E295" s="785">
        <f t="shared" si="17"/>
        <v>148860.07692307694</v>
      </c>
      <c r="F295" s="732">
        <f t="shared" si="13"/>
        <v>3572641.8461538451</v>
      </c>
      <c r="G295" s="790">
        <f t="shared" si="14"/>
        <v>570644.52267532656</v>
      </c>
      <c r="H295" s="791">
        <f t="shared" si="15"/>
        <v>570644.52267532656</v>
      </c>
      <c r="I295" s="788">
        <f t="shared" si="16"/>
        <v>0</v>
      </c>
      <c r="J295" s="788"/>
      <c r="K295" s="808"/>
      <c r="L295" s="792"/>
      <c r="M295" s="808"/>
      <c r="N295" s="792"/>
      <c r="O295" s="792"/>
    </row>
    <row r="296" spans="3:15">
      <c r="C296" s="784">
        <f>IF(D274="","-",+C295+1)</f>
        <v>2029</v>
      </c>
      <c r="D296" s="732">
        <f t="shared" si="12"/>
        <v>3572641.8461538451</v>
      </c>
      <c r="E296" s="785">
        <f t="shared" si="17"/>
        <v>148860.07692307694</v>
      </c>
      <c r="F296" s="732">
        <f t="shared" si="13"/>
        <v>3423781.7692307681</v>
      </c>
      <c r="G296" s="790">
        <f t="shared" si="14"/>
        <v>553428.83101196936</v>
      </c>
      <c r="H296" s="791">
        <f t="shared" si="15"/>
        <v>553428.83101196936</v>
      </c>
      <c r="I296" s="788">
        <f t="shared" si="16"/>
        <v>0</v>
      </c>
      <c r="J296" s="788"/>
      <c r="K296" s="808"/>
      <c r="L296" s="792"/>
      <c r="M296" s="808"/>
      <c r="N296" s="792"/>
      <c r="O296" s="792"/>
    </row>
    <row r="297" spans="3:15">
      <c r="C297" s="784">
        <f>IF(D274="","-",+C296+1)</f>
        <v>2030</v>
      </c>
      <c r="D297" s="732">
        <f t="shared" si="12"/>
        <v>3423781.7692307681</v>
      </c>
      <c r="E297" s="785">
        <f t="shared" si="17"/>
        <v>148860.07692307694</v>
      </c>
      <c r="F297" s="732">
        <f t="shared" si="13"/>
        <v>3274921.6923076911</v>
      </c>
      <c r="G297" s="790">
        <f t="shared" si="14"/>
        <v>536213.13934861217</v>
      </c>
      <c r="H297" s="791">
        <f t="shared" si="15"/>
        <v>536213.13934861217</v>
      </c>
      <c r="I297" s="788">
        <f t="shared" si="16"/>
        <v>0</v>
      </c>
      <c r="J297" s="788"/>
      <c r="K297" s="808"/>
      <c r="L297" s="792"/>
      <c r="M297" s="808"/>
      <c r="N297" s="792"/>
      <c r="O297" s="792"/>
    </row>
    <row r="298" spans="3:15">
      <c r="C298" s="784">
        <f>IF(D274="","-",+C297+1)</f>
        <v>2031</v>
      </c>
      <c r="D298" s="732">
        <f t="shared" si="12"/>
        <v>3274921.6923076911</v>
      </c>
      <c r="E298" s="785">
        <f t="shared" si="17"/>
        <v>148860.07692307694</v>
      </c>
      <c r="F298" s="732">
        <f t="shared" si="13"/>
        <v>3126061.6153846141</v>
      </c>
      <c r="G298" s="790">
        <f t="shared" si="14"/>
        <v>518997.44768525509</v>
      </c>
      <c r="H298" s="791">
        <f t="shared" si="15"/>
        <v>518997.44768525509</v>
      </c>
      <c r="I298" s="788">
        <f t="shared" si="16"/>
        <v>0</v>
      </c>
      <c r="J298" s="788"/>
      <c r="K298" s="808"/>
      <c r="L298" s="792"/>
      <c r="M298" s="808"/>
      <c r="N298" s="792"/>
      <c r="O298" s="792"/>
    </row>
    <row r="299" spans="3:15">
      <c r="C299" s="784">
        <f>IF(D274="","-",+C298+1)</f>
        <v>2032</v>
      </c>
      <c r="D299" s="732">
        <f t="shared" si="12"/>
        <v>3126061.6153846141</v>
      </c>
      <c r="E299" s="785">
        <f t="shared" si="17"/>
        <v>148860.07692307694</v>
      </c>
      <c r="F299" s="732">
        <f t="shared" si="13"/>
        <v>2977201.5384615371</v>
      </c>
      <c r="G299" s="790">
        <f t="shared" si="14"/>
        <v>501781.75602189795</v>
      </c>
      <c r="H299" s="791">
        <f t="shared" si="15"/>
        <v>501781.75602189795</v>
      </c>
      <c r="I299" s="788">
        <f t="shared" si="16"/>
        <v>0</v>
      </c>
      <c r="J299" s="788"/>
      <c r="K299" s="808"/>
      <c r="L299" s="792"/>
      <c r="M299" s="808"/>
      <c r="N299" s="792"/>
      <c r="O299" s="792"/>
    </row>
    <row r="300" spans="3:15">
      <c r="C300" s="784">
        <f>IF(D274="","-",+C299+1)</f>
        <v>2033</v>
      </c>
      <c r="D300" s="732">
        <f t="shared" si="12"/>
        <v>2977201.5384615371</v>
      </c>
      <c r="E300" s="785">
        <f t="shared" si="17"/>
        <v>148860.07692307694</v>
      </c>
      <c r="F300" s="732">
        <f t="shared" si="13"/>
        <v>2828341.4615384601</v>
      </c>
      <c r="G300" s="790">
        <f t="shared" si="14"/>
        <v>484566.06435854081</v>
      </c>
      <c r="H300" s="791">
        <f t="shared" si="15"/>
        <v>484566.06435854081</v>
      </c>
      <c r="I300" s="788">
        <f t="shared" si="16"/>
        <v>0</v>
      </c>
      <c r="J300" s="788"/>
      <c r="K300" s="808"/>
      <c r="L300" s="792"/>
      <c r="M300" s="808"/>
      <c r="N300" s="792"/>
      <c r="O300" s="792"/>
    </row>
    <row r="301" spans="3:15">
      <c r="C301" s="784">
        <f>IF(D274="","-",+C300+1)</f>
        <v>2034</v>
      </c>
      <c r="D301" s="732">
        <f t="shared" si="12"/>
        <v>2828341.4615384601</v>
      </c>
      <c r="E301" s="785">
        <f t="shared" si="17"/>
        <v>148860.07692307694</v>
      </c>
      <c r="F301" s="732">
        <f t="shared" si="13"/>
        <v>2679481.3846153831</v>
      </c>
      <c r="G301" s="790">
        <f t="shared" si="14"/>
        <v>467350.37269518367</v>
      </c>
      <c r="H301" s="791">
        <f t="shared" si="15"/>
        <v>467350.37269518367</v>
      </c>
      <c r="I301" s="788">
        <f t="shared" si="16"/>
        <v>0</v>
      </c>
      <c r="J301" s="788"/>
      <c r="K301" s="808"/>
      <c r="L301" s="792"/>
      <c r="M301" s="808"/>
      <c r="N301" s="792"/>
      <c r="O301" s="792"/>
    </row>
    <row r="302" spans="3:15">
      <c r="C302" s="784">
        <f>IF(D274="","-",+C301+1)</f>
        <v>2035</v>
      </c>
      <c r="D302" s="732">
        <f t="shared" si="12"/>
        <v>2679481.3846153831</v>
      </c>
      <c r="E302" s="785">
        <f t="shared" si="17"/>
        <v>148860.07692307694</v>
      </c>
      <c r="F302" s="732">
        <f t="shared" si="13"/>
        <v>2530621.3076923061</v>
      </c>
      <c r="G302" s="790">
        <f t="shared" si="14"/>
        <v>450134.68103182653</v>
      </c>
      <c r="H302" s="791">
        <f t="shared" si="15"/>
        <v>450134.68103182653</v>
      </c>
      <c r="I302" s="788">
        <f t="shared" si="16"/>
        <v>0</v>
      </c>
      <c r="J302" s="788"/>
      <c r="K302" s="808"/>
      <c r="L302" s="792"/>
      <c r="M302" s="808"/>
      <c r="N302" s="792"/>
      <c r="O302" s="792"/>
    </row>
    <row r="303" spans="3:15">
      <c r="C303" s="784">
        <f>IF(D274="","-",+C302+1)</f>
        <v>2036</v>
      </c>
      <c r="D303" s="732">
        <f t="shared" si="12"/>
        <v>2530621.3076923061</v>
      </c>
      <c r="E303" s="785">
        <f t="shared" si="17"/>
        <v>148860.07692307694</v>
      </c>
      <c r="F303" s="732">
        <f t="shared" si="13"/>
        <v>2381761.2307692291</v>
      </c>
      <c r="G303" s="790">
        <f t="shared" si="14"/>
        <v>432918.9893684694</v>
      </c>
      <c r="H303" s="791">
        <f t="shared" si="15"/>
        <v>432918.9893684694</v>
      </c>
      <c r="I303" s="788">
        <f t="shared" si="16"/>
        <v>0</v>
      </c>
      <c r="J303" s="788"/>
      <c r="K303" s="808"/>
      <c r="L303" s="792"/>
      <c r="M303" s="808"/>
      <c r="N303" s="792"/>
      <c r="O303" s="792"/>
    </row>
    <row r="304" spans="3:15">
      <c r="C304" s="784">
        <f>IF(D274="","-",+C303+1)</f>
        <v>2037</v>
      </c>
      <c r="D304" s="732">
        <f t="shared" si="12"/>
        <v>2381761.2307692291</v>
      </c>
      <c r="E304" s="785">
        <f t="shared" si="17"/>
        <v>148860.07692307694</v>
      </c>
      <c r="F304" s="732">
        <f t="shared" si="13"/>
        <v>2232901.1538461521</v>
      </c>
      <c r="G304" s="790">
        <f t="shared" si="14"/>
        <v>415703.29770511226</v>
      </c>
      <c r="H304" s="791">
        <f t="shared" si="15"/>
        <v>415703.29770511226</v>
      </c>
      <c r="I304" s="788">
        <f t="shared" si="16"/>
        <v>0</v>
      </c>
      <c r="J304" s="788"/>
      <c r="K304" s="808"/>
      <c r="L304" s="792"/>
      <c r="M304" s="808"/>
      <c r="N304" s="792"/>
      <c r="O304" s="792"/>
    </row>
    <row r="305" spans="3:15">
      <c r="C305" s="784">
        <f>IF(D274="","-",+C304+1)</f>
        <v>2038</v>
      </c>
      <c r="D305" s="732">
        <f t="shared" si="12"/>
        <v>2232901.1538461521</v>
      </c>
      <c r="E305" s="785">
        <f t="shared" si="17"/>
        <v>148860.07692307694</v>
      </c>
      <c r="F305" s="732">
        <f t="shared" si="13"/>
        <v>2084041.0769230751</v>
      </c>
      <c r="G305" s="790">
        <f t="shared" si="14"/>
        <v>398487.60604175512</v>
      </c>
      <c r="H305" s="791">
        <f t="shared" si="15"/>
        <v>398487.60604175512</v>
      </c>
      <c r="I305" s="788">
        <f t="shared" si="16"/>
        <v>0</v>
      </c>
      <c r="J305" s="788"/>
      <c r="K305" s="808"/>
      <c r="L305" s="792"/>
      <c r="M305" s="808"/>
      <c r="N305" s="792"/>
      <c r="O305" s="792"/>
    </row>
    <row r="306" spans="3:15">
      <c r="C306" s="784">
        <f>IF(D274="","-",+C305+1)</f>
        <v>2039</v>
      </c>
      <c r="D306" s="732">
        <f t="shared" si="12"/>
        <v>2084041.0769230751</v>
      </c>
      <c r="E306" s="785">
        <f t="shared" si="17"/>
        <v>148860.07692307694</v>
      </c>
      <c r="F306" s="732">
        <f t="shared" si="13"/>
        <v>1935180.9999999981</v>
      </c>
      <c r="G306" s="790">
        <f t="shared" si="14"/>
        <v>381271.91437839798</v>
      </c>
      <c r="H306" s="791">
        <f t="shared" si="15"/>
        <v>381271.91437839798</v>
      </c>
      <c r="I306" s="788">
        <f t="shared" si="16"/>
        <v>0</v>
      </c>
      <c r="J306" s="788"/>
      <c r="K306" s="808"/>
      <c r="L306" s="792"/>
      <c r="M306" s="808"/>
      <c r="N306" s="792"/>
      <c r="O306" s="792"/>
    </row>
    <row r="307" spans="3:15">
      <c r="C307" s="784">
        <f>IF(D274="","-",+C306+1)</f>
        <v>2040</v>
      </c>
      <c r="D307" s="732">
        <f t="shared" si="12"/>
        <v>1935180.9999999981</v>
      </c>
      <c r="E307" s="785">
        <f t="shared" si="17"/>
        <v>148860.07692307694</v>
      </c>
      <c r="F307" s="732">
        <f t="shared" si="13"/>
        <v>1786320.9230769211</v>
      </c>
      <c r="G307" s="790">
        <f t="shared" si="14"/>
        <v>364056.22271504084</v>
      </c>
      <c r="H307" s="791">
        <f t="shared" si="15"/>
        <v>364056.22271504084</v>
      </c>
      <c r="I307" s="788">
        <f t="shared" si="16"/>
        <v>0</v>
      </c>
      <c r="J307" s="788"/>
      <c r="K307" s="808"/>
      <c r="L307" s="792"/>
      <c r="M307" s="808"/>
      <c r="N307" s="792"/>
      <c r="O307" s="792"/>
    </row>
    <row r="308" spans="3:15">
      <c r="C308" s="784">
        <f>IF(D274="","-",+C307+1)</f>
        <v>2041</v>
      </c>
      <c r="D308" s="732">
        <f t="shared" si="12"/>
        <v>1786320.9230769211</v>
      </c>
      <c r="E308" s="785">
        <f t="shared" si="17"/>
        <v>148860.07692307694</v>
      </c>
      <c r="F308" s="732">
        <f t="shared" si="13"/>
        <v>1637460.8461538441</v>
      </c>
      <c r="G308" s="786">
        <f t="shared" si="14"/>
        <v>346840.53105168371</v>
      </c>
      <c r="H308" s="791">
        <f t="shared" si="15"/>
        <v>346840.53105168371</v>
      </c>
      <c r="I308" s="788">
        <f t="shared" si="16"/>
        <v>0</v>
      </c>
      <c r="J308" s="788"/>
      <c r="K308" s="808"/>
      <c r="L308" s="792"/>
      <c r="M308" s="808"/>
      <c r="N308" s="792"/>
      <c r="O308" s="792"/>
    </row>
    <row r="309" spans="3:15">
      <c r="C309" s="784">
        <f>IF(D274="","-",+C308+1)</f>
        <v>2042</v>
      </c>
      <c r="D309" s="732">
        <f t="shared" si="12"/>
        <v>1637460.8461538441</v>
      </c>
      <c r="E309" s="785">
        <f t="shared" si="17"/>
        <v>148860.07692307694</v>
      </c>
      <c r="F309" s="732">
        <f t="shared" si="13"/>
        <v>1488600.7692307672</v>
      </c>
      <c r="G309" s="790">
        <f t="shared" si="14"/>
        <v>329624.83938832657</v>
      </c>
      <c r="H309" s="791">
        <f t="shared" si="15"/>
        <v>329624.83938832657</v>
      </c>
      <c r="I309" s="788">
        <f t="shared" si="16"/>
        <v>0</v>
      </c>
      <c r="J309" s="788"/>
      <c r="K309" s="808"/>
      <c r="L309" s="792"/>
      <c r="M309" s="808"/>
      <c r="N309" s="792"/>
      <c r="O309" s="792"/>
    </row>
    <row r="310" spans="3:15">
      <c r="C310" s="784">
        <f>IF(D274="","-",+C309+1)</f>
        <v>2043</v>
      </c>
      <c r="D310" s="732">
        <f t="shared" si="12"/>
        <v>1488600.7692307672</v>
      </c>
      <c r="E310" s="785">
        <f t="shared" si="17"/>
        <v>148860.07692307694</v>
      </c>
      <c r="F310" s="732">
        <f t="shared" si="13"/>
        <v>1339740.6923076902</v>
      </c>
      <c r="G310" s="790">
        <f t="shared" si="14"/>
        <v>312409.14772496943</v>
      </c>
      <c r="H310" s="791">
        <f t="shared" si="15"/>
        <v>312409.14772496943</v>
      </c>
      <c r="I310" s="788">
        <f t="shared" si="16"/>
        <v>0</v>
      </c>
      <c r="J310" s="788"/>
      <c r="K310" s="808"/>
      <c r="L310" s="792"/>
      <c r="M310" s="808"/>
      <c r="N310" s="792"/>
      <c r="O310" s="792"/>
    </row>
    <row r="311" spans="3:15">
      <c r="C311" s="784">
        <f>IF(D274="","-",+C310+1)</f>
        <v>2044</v>
      </c>
      <c r="D311" s="732">
        <f t="shared" si="12"/>
        <v>1339740.6923076902</v>
      </c>
      <c r="E311" s="785">
        <f t="shared" si="17"/>
        <v>148860.07692307694</v>
      </c>
      <c r="F311" s="732">
        <f t="shared" si="13"/>
        <v>1190880.6153846132</v>
      </c>
      <c r="G311" s="790">
        <f t="shared" si="14"/>
        <v>295193.45606161229</v>
      </c>
      <c r="H311" s="791">
        <f t="shared" si="15"/>
        <v>295193.45606161229</v>
      </c>
      <c r="I311" s="788">
        <f t="shared" si="16"/>
        <v>0</v>
      </c>
      <c r="J311" s="788"/>
      <c r="K311" s="808"/>
      <c r="L311" s="792"/>
      <c r="M311" s="808"/>
      <c r="N311" s="792"/>
      <c r="O311" s="792"/>
    </row>
    <row r="312" spans="3:15">
      <c r="C312" s="784">
        <f>IF(D274="","-",+C311+1)</f>
        <v>2045</v>
      </c>
      <c r="D312" s="732">
        <f t="shared" si="12"/>
        <v>1190880.6153846132</v>
      </c>
      <c r="E312" s="785">
        <f t="shared" si="17"/>
        <v>148860.07692307694</v>
      </c>
      <c r="F312" s="732">
        <f t="shared" si="13"/>
        <v>1042020.5384615362</v>
      </c>
      <c r="G312" s="790">
        <f t="shared" si="14"/>
        <v>277977.76439825515</v>
      </c>
      <c r="H312" s="791">
        <f t="shared" si="15"/>
        <v>277977.76439825515</v>
      </c>
      <c r="I312" s="788">
        <f t="shared" si="16"/>
        <v>0</v>
      </c>
      <c r="J312" s="788"/>
      <c r="K312" s="808"/>
      <c r="L312" s="792"/>
      <c r="M312" s="808"/>
      <c r="N312" s="792"/>
      <c r="O312" s="792"/>
    </row>
    <row r="313" spans="3:15">
      <c r="C313" s="784">
        <f>IF(D274="","-",+C312+1)</f>
        <v>2046</v>
      </c>
      <c r="D313" s="732">
        <f t="shared" si="12"/>
        <v>1042020.5384615362</v>
      </c>
      <c r="E313" s="785">
        <f t="shared" si="17"/>
        <v>148860.07692307694</v>
      </c>
      <c r="F313" s="732">
        <f t="shared" si="13"/>
        <v>893160.46153845917</v>
      </c>
      <c r="G313" s="790">
        <f t="shared" si="14"/>
        <v>260762.07273489801</v>
      </c>
      <c r="H313" s="791">
        <f t="shared" si="15"/>
        <v>260762.07273489801</v>
      </c>
      <c r="I313" s="788">
        <f t="shared" si="16"/>
        <v>0</v>
      </c>
      <c r="J313" s="788"/>
      <c r="K313" s="808"/>
      <c r="L313" s="792"/>
      <c r="M313" s="808"/>
      <c r="N313" s="792"/>
      <c r="O313" s="792"/>
    </row>
    <row r="314" spans="3:15">
      <c r="C314" s="784">
        <f>IF(D274="","-",+C313+1)</f>
        <v>2047</v>
      </c>
      <c r="D314" s="732">
        <f t="shared" si="12"/>
        <v>893160.46153845917</v>
      </c>
      <c r="E314" s="785">
        <f t="shared" si="17"/>
        <v>148860.07692307694</v>
      </c>
      <c r="F314" s="732">
        <f t="shared" si="13"/>
        <v>744300.38461538218</v>
      </c>
      <c r="G314" s="790">
        <f t="shared" si="14"/>
        <v>243546.38107154088</v>
      </c>
      <c r="H314" s="791">
        <f t="shared" si="15"/>
        <v>243546.38107154088</v>
      </c>
      <c r="I314" s="788">
        <f t="shared" si="16"/>
        <v>0</v>
      </c>
      <c r="J314" s="788"/>
      <c r="K314" s="808"/>
      <c r="L314" s="792"/>
      <c r="M314" s="808"/>
      <c r="N314" s="792"/>
      <c r="O314" s="792"/>
    </row>
    <row r="315" spans="3:15">
      <c r="C315" s="784">
        <f>IF(D274="","-",+C314+1)</f>
        <v>2048</v>
      </c>
      <c r="D315" s="732">
        <f t="shared" si="12"/>
        <v>744300.38461538218</v>
      </c>
      <c r="E315" s="785">
        <f t="shared" si="17"/>
        <v>148860.07692307694</v>
      </c>
      <c r="F315" s="732">
        <f t="shared" si="13"/>
        <v>595440.30769230518</v>
      </c>
      <c r="G315" s="790">
        <f t="shared" si="14"/>
        <v>226330.68940818374</v>
      </c>
      <c r="H315" s="791">
        <f t="shared" si="15"/>
        <v>226330.68940818374</v>
      </c>
      <c r="I315" s="788">
        <f t="shared" si="16"/>
        <v>0</v>
      </c>
      <c r="J315" s="788"/>
      <c r="K315" s="808"/>
      <c r="L315" s="792"/>
      <c r="M315" s="808"/>
      <c r="N315" s="792"/>
      <c r="O315" s="792"/>
    </row>
    <row r="316" spans="3:15">
      <c r="C316" s="784">
        <f>IF(D274="","-",+C315+1)</f>
        <v>2049</v>
      </c>
      <c r="D316" s="732">
        <f t="shared" si="12"/>
        <v>595440.30769230518</v>
      </c>
      <c r="E316" s="785">
        <f t="shared" si="17"/>
        <v>148860.07692307694</v>
      </c>
      <c r="F316" s="732">
        <f t="shared" si="13"/>
        <v>446580.23076922825</v>
      </c>
      <c r="G316" s="790">
        <f t="shared" si="14"/>
        <v>209114.9977448266</v>
      </c>
      <c r="H316" s="791">
        <f t="shared" si="15"/>
        <v>209114.9977448266</v>
      </c>
      <c r="I316" s="788">
        <f t="shared" si="16"/>
        <v>0</v>
      </c>
      <c r="J316" s="788"/>
      <c r="K316" s="808"/>
      <c r="L316" s="792"/>
      <c r="M316" s="808"/>
      <c r="N316" s="792"/>
      <c r="O316" s="792"/>
    </row>
    <row r="317" spans="3:15">
      <c r="C317" s="784">
        <f>IF(D274="","-",+C316+1)</f>
        <v>2050</v>
      </c>
      <c r="D317" s="732">
        <f t="shared" si="12"/>
        <v>446580.23076922825</v>
      </c>
      <c r="E317" s="785">
        <f t="shared" si="17"/>
        <v>148860.07692307694</v>
      </c>
      <c r="F317" s="732">
        <f t="shared" si="13"/>
        <v>297720.15384615131</v>
      </c>
      <c r="G317" s="790">
        <f t="shared" si="14"/>
        <v>191899.30608146946</v>
      </c>
      <c r="H317" s="791">
        <f t="shared" si="15"/>
        <v>191899.30608146946</v>
      </c>
      <c r="I317" s="788">
        <f t="shared" si="16"/>
        <v>0</v>
      </c>
      <c r="J317" s="788"/>
      <c r="K317" s="808"/>
      <c r="L317" s="792"/>
      <c r="M317" s="808"/>
      <c r="N317" s="792"/>
      <c r="O317" s="792"/>
    </row>
    <row r="318" spans="3:15">
      <c r="C318" s="784">
        <f>IF(D274="","-",+C317+1)</f>
        <v>2051</v>
      </c>
      <c r="D318" s="732">
        <f t="shared" si="12"/>
        <v>297720.15384615131</v>
      </c>
      <c r="E318" s="785">
        <f t="shared" si="17"/>
        <v>148860.07692307694</v>
      </c>
      <c r="F318" s="732">
        <f t="shared" si="13"/>
        <v>148860.07692307438</v>
      </c>
      <c r="G318" s="790">
        <f t="shared" si="14"/>
        <v>174683.61441811232</v>
      </c>
      <c r="H318" s="791">
        <f t="shared" si="15"/>
        <v>174683.61441811232</v>
      </c>
      <c r="I318" s="788">
        <f t="shared" si="16"/>
        <v>0</v>
      </c>
      <c r="J318" s="788"/>
      <c r="K318" s="808"/>
      <c r="L318" s="792"/>
      <c r="M318" s="808"/>
      <c r="N318" s="792"/>
      <c r="O318" s="792"/>
    </row>
    <row r="319" spans="3:15">
      <c r="C319" s="784">
        <f>IF(D274="","-",+C318+1)</f>
        <v>2052</v>
      </c>
      <c r="D319" s="732">
        <f t="shared" si="12"/>
        <v>148860.07692307438</v>
      </c>
      <c r="E319" s="785">
        <f t="shared" si="17"/>
        <v>148860.07692307438</v>
      </c>
      <c r="F319" s="732">
        <f t="shared" si="13"/>
        <v>0</v>
      </c>
      <c r="G319" s="790">
        <f t="shared" si="14"/>
        <v>157467.9227547528</v>
      </c>
      <c r="H319" s="791">
        <f t="shared" si="15"/>
        <v>157467.9227547528</v>
      </c>
      <c r="I319" s="788">
        <f t="shared" si="16"/>
        <v>0</v>
      </c>
      <c r="J319" s="788"/>
      <c r="K319" s="808"/>
      <c r="L319" s="792"/>
      <c r="M319" s="808"/>
      <c r="N319" s="792"/>
      <c r="O319" s="792"/>
    </row>
    <row r="320" spans="3:15">
      <c r="C320" s="784">
        <f>IF(D274="","-",+C319+1)</f>
        <v>2053</v>
      </c>
      <c r="D320" s="732">
        <f t="shared" si="12"/>
        <v>0</v>
      </c>
      <c r="E320" s="785">
        <f t="shared" si="17"/>
        <v>0</v>
      </c>
      <c r="F320" s="732">
        <f t="shared" si="13"/>
        <v>0</v>
      </c>
      <c r="G320" s="790">
        <f t="shared" si="14"/>
        <v>0</v>
      </c>
      <c r="H320" s="791">
        <f t="shared" si="15"/>
        <v>0</v>
      </c>
      <c r="I320" s="788">
        <f t="shared" si="16"/>
        <v>0</v>
      </c>
      <c r="J320" s="788"/>
      <c r="K320" s="808"/>
      <c r="L320" s="792"/>
      <c r="M320" s="808"/>
      <c r="N320" s="792"/>
      <c r="O320" s="792"/>
    </row>
    <row r="321" spans="3:15">
      <c r="C321" s="784">
        <f>IF(D274="","-",+C320+1)</f>
        <v>2054</v>
      </c>
      <c r="D321" s="732">
        <f t="shared" si="12"/>
        <v>0</v>
      </c>
      <c r="E321" s="785">
        <f t="shared" si="17"/>
        <v>0</v>
      </c>
      <c r="F321" s="732">
        <f t="shared" si="13"/>
        <v>0</v>
      </c>
      <c r="G321" s="790">
        <f t="shared" si="14"/>
        <v>0</v>
      </c>
      <c r="H321" s="791">
        <f t="shared" si="15"/>
        <v>0</v>
      </c>
      <c r="I321" s="788">
        <f t="shared" si="16"/>
        <v>0</v>
      </c>
      <c r="J321" s="788"/>
      <c r="K321" s="808"/>
      <c r="L321" s="792"/>
      <c r="M321" s="808"/>
      <c r="N321" s="792"/>
      <c r="O321" s="792"/>
    </row>
    <row r="322" spans="3:15">
      <c r="C322" s="784">
        <f>IF(D274="","-",+C321+1)</f>
        <v>2055</v>
      </c>
      <c r="D322" s="732">
        <f t="shared" si="12"/>
        <v>0</v>
      </c>
      <c r="E322" s="785">
        <f t="shared" si="17"/>
        <v>0</v>
      </c>
      <c r="F322" s="732">
        <f t="shared" si="13"/>
        <v>0</v>
      </c>
      <c r="G322" s="790">
        <f t="shared" si="14"/>
        <v>0</v>
      </c>
      <c r="H322" s="791">
        <f t="shared" si="15"/>
        <v>0</v>
      </c>
      <c r="I322" s="788">
        <f t="shared" si="16"/>
        <v>0</v>
      </c>
      <c r="J322" s="788"/>
      <c r="K322" s="808"/>
      <c r="L322" s="792"/>
      <c r="M322" s="808"/>
      <c r="N322" s="792"/>
      <c r="O322" s="792"/>
    </row>
    <row r="323" spans="3:15">
      <c r="C323" s="784">
        <f>IF(D274="","-",+C322+1)</f>
        <v>2056</v>
      </c>
      <c r="D323" s="732">
        <f t="shared" si="12"/>
        <v>0</v>
      </c>
      <c r="E323" s="785">
        <f t="shared" si="17"/>
        <v>0</v>
      </c>
      <c r="F323" s="732">
        <f t="shared" si="13"/>
        <v>0</v>
      </c>
      <c r="G323" s="790">
        <f t="shared" si="14"/>
        <v>0</v>
      </c>
      <c r="H323" s="791">
        <f t="shared" si="15"/>
        <v>0</v>
      </c>
      <c r="I323" s="788">
        <f t="shared" si="16"/>
        <v>0</v>
      </c>
      <c r="J323" s="788"/>
      <c r="K323" s="808"/>
      <c r="L323" s="792"/>
      <c r="M323" s="808"/>
      <c r="N323" s="792"/>
      <c r="O323" s="792"/>
    </row>
    <row r="324" spans="3:15">
      <c r="C324" s="784">
        <f>IF(D274="","-",+C323+1)</f>
        <v>2057</v>
      </c>
      <c r="D324" s="732">
        <f t="shared" si="12"/>
        <v>0</v>
      </c>
      <c r="E324" s="785">
        <f t="shared" si="17"/>
        <v>0</v>
      </c>
      <c r="F324" s="732">
        <f t="shared" si="13"/>
        <v>0</v>
      </c>
      <c r="G324" s="790">
        <f t="shared" si="14"/>
        <v>0</v>
      </c>
      <c r="H324" s="791">
        <f t="shared" si="15"/>
        <v>0</v>
      </c>
      <c r="I324" s="788">
        <f t="shared" si="16"/>
        <v>0</v>
      </c>
      <c r="J324" s="788"/>
      <c r="K324" s="808"/>
      <c r="L324" s="792"/>
      <c r="M324" s="808"/>
      <c r="N324" s="792"/>
      <c r="O324" s="792"/>
    </row>
    <row r="325" spans="3:15">
      <c r="C325" s="784">
        <f>IF(D274="","-",+C324+1)</f>
        <v>2058</v>
      </c>
      <c r="D325" s="732">
        <f t="shared" si="12"/>
        <v>0</v>
      </c>
      <c r="E325" s="785">
        <f t="shared" si="17"/>
        <v>0</v>
      </c>
      <c r="F325" s="732">
        <f t="shared" si="13"/>
        <v>0</v>
      </c>
      <c r="G325" s="790">
        <f t="shared" si="14"/>
        <v>0</v>
      </c>
      <c r="H325" s="791">
        <f t="shared" si="15"/>
        <v>0</v>
      </c>
      <c r="I325" s="788">
        <f t="shared" si="16"/>
        <v>0</v>
      </c>
      <c r="J325" s="788"/>
      <c r="K325" s="808"/>
      <c r="L325" s="792"/>
      <c r="M325" s="808"/>
      <c r="N325" s="792"/>
      <c r="O325" s="792"/>
    </row>
    <row r="326" spans="3:15">
      <c r="C326" s="784">
        <f>IF(D274="","-",+C325+1)</f>
        <v>2059</v>
      </c>
      <c r="D326" s="732">
        <f t="shared" si="12"/>
        <v>0</v>
      </c>
      <c r="E326" s="785">
        <f t="shared" si="17"/>
        <v>0</v>
      </c>
      <c r="F326" s="732">
        <f t="shared" si="13"/>
        <v>0</v>
      </c>
      <c r="G326" s="790">
        <f t="shared" si="14"/>
        <v>0</v>
      </c>
      <c r="H326" s="791">
        <f t="shared" si="15"/>
        <v>0</v>
      </c>
      <c r="I326" s="788">
        <f t="shared" si="16"/>
        <v>0</v>
      </c>
      <c r="J326" s="788"/>
      <c r="K326" s="808"/>
      <c r="L326" s="792"/>
      <c r="M326" s="808"/>
      <c r="N326" s="792"/>
      <c r="O326" s="792"/>
    </row>
    <row r="327" spans="3:15">
      <c r="C327" s="784">
        <f>IF(D274="","-",+C326+1)</f>
        <v>2060</v>
      </c>
      <c r="D327" s="732">
        <f t="shared" si="12"/>
        <v>0</v>
      </c>
      <c r="E327" s="785">
        <f t="shared" si="17"/>
        <v>0</v>
      </c>
      <c r="F327" s="732">
        <f t="shared" si="13"/>
        <v>0</v>
      </c>
      <c r="G327" s="790">
        <f t="shared" si="14"/>
        <v>0</v>
      </c>
      <c r="H327" s="791">
        <f t="shared" si="15"/>
        <v>0</v>
      </c>
      <c r="I327" s="788">
        <f t="shared" si="16"/>
        <v>0</v>
      </c>
      <c r="J327" s="788"/>
      <c r="K327" s="808"/>
      <c r="L327" s="792"/>
      <c r="M327" s="808"/>
      <c r="N327" s="792"/>
      <c r="O327" s="792"/>
    </row>
    <row r="328" spans="3:15">
      <c r="C328" s="784">
        <f>IF(D274="","-",+C327+1)</f>
        <v>2061</v>
      </c>
      <c r="D328" s="732">
        <f t="shared" si="12"/>
        <v>0</v>
      </c>
      <c r="E328" s="785">
        <f t="shared" si="17"/>
        <v>0</v>
      </c>
      <c r="F328" s="732">
        <f t="shared" si="13"/>
        <v>0</v>
      </c>
      <c r="G328" s="790">
        <f t="shared" si="14"/>
        <v>0</v>
      </c>
      <c r="H328" s="791">
        <f t="shared" si="15"/>
        <v>0</v>
      </c>
      <c r="I328" s="788">
        <f t="shared" si="16"/>
        <v>0</v>
      </c>
      <c r="J328" s="788"/>
      <c r="K328" s="808"/>
      <c r="L328" s="792"/>
      <c r="M328" s="808"/>
      <c r="N328" s="792"/>
      <c r="O328" s="792"/>
    </row>
    <row r="329" spans="3:15">
      <c r="C329" s="784">
        <f>IF(D274="","-",+C328+1)</f>
        <v>2062</v>
      </c>
      <c r="D329" s="732">
        <f t="shared" si="12"/>
        <v>0</v>
      </c>
      <c r="E329" s="785">
        <f t="shared" si="17"/>
        <v>0</v>
      </c>
      <c r="F329" s="732">
        <f t="shared" si="13"/>
        <v>0</v>
      </c>
      <c r="G329" s="790">
        <f t="shared" si="14"/>
        <v>0</v>
      </c>
      <c r="H329" s="791">
        <f t="shared" si="15"/>
        <v>0</v>
      </c>
      <c r="I329" s="788">
        <f t="shared" si="16"/>
        <v>0</v>
      </c>
      <c r="J329" s="788"/>
      <c r="K329" s="808"/>
      <c r="L329" s="792"/>
      <c r="M329" s="808"/>
      <c r="N329" s="792"/>
      <c r="O329" s="792"/>
    </row>
    <row r="330" spans="3:15">
      <c r="C330" s="784">
        <f>IF(D274="","-",+C329+1)</f>
        <v>2063</v>
      </c>
      <c r="D330" s="732">
        <f t="shared" si="12"/>
        <v>0</v>
      </c>
      <c r="E330" s="785">
        <f t="shared" si="17"/>
        <v>0</v>
      </c>
      <c r="F330" s="732">
        <f t="shared" si="13"/>
        <v>0</v>
      </c>
      <c r="G330" s="790">
        <f t="shared" si="14"/>
        <v>0</v>
      </c>
      <c r="H330" s="791">
        <f t="shared" si="15"/>
        <v>0</v>
      </c>
      <c r="I330" s="788">
        <f t="shared" si="16"/>
        <v>0</v>
      </c>
      <c r="J330" s="788"/>
      <c r="K330" s="808"/>
      <c r="L330" s="792"/>
      <c r="M330" s="808"/>
      <c r="N330" s="792"/>
      <c r="O330" s="792"/>
    </row>
    <row r="331" spans="3:15">
      <c r="C331" s="784">
        <f>IF(D274="","-",+C330+1)</f>
        <v>2064</v>
      </c>
      <c r="D331" s="732">
        <f t="shared" si="12"/>
        <v>0</v>
      </c>
      <c r="E331" s="785">
        <f t="shared" si="17"/>
        <v>0</v>
      </c>
      <c r="F331" s="732">
        <f t="shared" si="13"/>
        <v>0</v>
      </c>
      <c r="G331" s="790">
        <f t="shared" si="14"/>
        <v>0</v>
      </c>
      <c r="H331" s="791">
        <f t="shared" si="15"/>
        <v>0</v>
      </c>
      <c r="I331" s="788">
        <f t="shared" si="16"/>
        <v>0</v>
      </c>
      <c r="J331" s="788"/>
      <c r="K331" s="808"/>
      <c r="L331" s="792"/>
      <c r="M331" s="808"/>
      <c r="N331" s="792"/>
      <c r="O331" s="792"/>
    </row>
    <row r="332" spans="3:15">
      <c r="C332" s="784">
        <f>IF(D274="","-",+C331+1)</f>
        <v>2065</v>
      </c>
      <c r="D332" s="732">
        <f t="shared" si="12"/>
        <v>0</v>
      </c>
      <c r="E332" s="785">
        <f t="shared" si="17"/>
        <v>0</v>
      </c>
      <c r="F332" s="732">
        <f t="shared" si="13"/>
        <v>0</v>
      </c>
      <c r="G332" s="790">
        <f t="shared" si="14"/>
        <v>0</v>
      </c>
      <c r="H332" s="791">
        <f t="shared" si="15"/>
        <v>0</v>
      </c>
      <c r="I332" s="788">
        <f t="shared" si="16"/>
        <v>0</v>
      </c>
      <c r="J332" s="788"/>
      <c r="K332" s="808"/>
      <c r="L332" s="792"/>
      <c r="M332" s="808"/>
      <c r="N332" s="792"/>
      <c r="O332" s="792"/>
    </row>
    <row r="333" spans="3:15">
      <c r="C333" s="784">
        <f>IF(D274="","-",+C332+1)</f>
        <v>2066</v>
      </c>
      <c r="D333" s="732">
        <f t="shared" si="12"/>
        <v>0</v>
      </c>
      <c r="E333" s="785">
        <f t="shared" si="17"/>
        <v>0</v>
      </c>
      <c r="F333" s="732">
        <f t="shared" si="13"/>
        <v>0</v>
      </c>
      <c r="G333" s="790">
        <f t="shared" si="14"/>
        <v>0</v>
      </c>
      <c r="H333" s="791">
        <f t="shared" si="15"/>
        <v>0</v>
      </c>
      <c r="I333" s="788">
        <f t="shared" si="16"/>
        <v>0</v>
      </c>
      <c r="J333" s="788"/>
      <c r="K333" s="808"/>
      <c r="L333" s="792"/>
      <c r="M333" s="808"/>
      <c r="N333" s="792"/>
      <c r="O333" s="792"/>
    </row>
    <row r="334" spans="3:15">
      <c r="C334" s="784">
        <f>IF(D274="","-",+C333+1)</f>
        <v>2067</v>
      </c>
      <c r="D334" s="732">
        <f t="shared" si="12"/>
        <v>0</v>
      </c>
      <c r="E334" s="785">
        <f t="shared" si="17"/>
        <v>0</v>
      </c>
      <c r="F334" s="732">
        <f t="shared" si="13"/>
        <v>0</v>
      </c>
      <c r="G334" s="790">
        <f t="shared" si="14"/>
        <v>0</v>
      </c>
      <c r="H334" s="791">
        <f t="shared" si="15"/>
        <v>0</v>
      </c>
      <c r="I334" s="788">
        <f t="shared" si="16"/>
        <v>0</v>
      </c>
      <c r="J334" s="788"/>
      <c r="K334" s="808"/>
      <c r="L334" s="792"/>
      <c r="M334" s="808"/>
      <c r="N334" s="792"/>
      <c r="O334" s="792"/>
    </row>
    <row r="335" spans="3:15">
      <c r="C335" s="784">
        <f>IF(D274="","-",+C334+1)</f>
        <v>2068</v>
      </c>
      <c r="D335" s="732">
        <f t="shared" si="12"/>
        <v>0</v>
      </c>
      <c r="E335" s="785">
        <f t="shared" si="17"/>
        <v>0</v>
      </c>
      <c r="F335" s="732">
        <f t="shared" si="13"/>
        <v>0</v>
      </c>
      <c r="G335" s="790">
        <f t="shared" si="14"/>
        <v>0</v>
      </c>
      <c r="H335" s="791">
        <f t="shared" si="15"/>
        <v>0</v>
      </c>
      <c r="I335" s="788">
        <f t="shared" si="16"/>
        <v>0</v>
      </c>
      <c r="J335" s="788"/>
      <c r="K335" s="808"/>
      <c r="L335" s="792"/>
      <c r="M335" s="808"/>
      <c r="N335" s="792"/>
      <c r="O335" s="792"/>
    </row>
    <row r="336" spans="3:15">
      <c r="C336" s="784">
        <f>IF(D274="","-",+C335+1)</f>
        <v>2069</v>
      </c>
      <c r="D336" s="732">
        <f t="shared" si="12"/>
        <v>0</v>
      </c>
      <c r="E336" s="785">
        <f t="shared" si="17"/>
        <v>0</v>
      </c>
      <c r="F336" s="732">
        <f t="shared" si="13"/>
        <v>0</v>
      </c>
      <c r="G336" s="790">
        <f t="shared" si="14"/>
        <v>0</v>
      </c>
      <c r="H336" s="791">
        <f t="shared" si="15"/>
        <v>0</v>
      </c>
      <c r="I336" s="788">
        <f t="shared" si="16"/>
        <v>0</v>
      </c>
      <c r="J336" s="788"/>
      <c r="K336" s="808"/>
      <c r="L336" s="792"/>
      <c r="M336" s="808"/>
      <c r="N336" s="792"/>
      <c r="O336" s="792"/>
    </row>
    <row r="337" spans="1:16">
      <c r="C337" s="784">
        <f>IF(D274="","-",+C336+1)</f>
        <v>2070</v>
      </c>
      <c r="D337" s="732">
        <f t="shared" si="12"/>
        <v>0</v>
      </c>
      <c r="E337" s="785">
        <f t="shared" si="17"/>
        <v>0</v>
      </c>
      <c r="F337" s="732">
        <f t="shared" si="13"/>
        <v>0</v>
      </c>
      <c r="G337" s="790">
        <f t="shared" si="14"/>
        <v>0</v>
      </c>
      <c r="H337" s="791">
        <f t="shared" si="15"/>
        <v>0</v>
      </c>
      <c r="I337" s="788">
        <f t="shared" si="16"/>
        <v>0</v>
      </c>
      <c r="J337" s="788"/>
      <c r="K337" s="808"/>
      <c r="L337" s="792"/>
      <c r="M337" s="808"/>
      <c r="N337" s="792"/>
      <c r="O337" s="792"/>
    </row>
    <row r="338" spans="1:16">
      <c r="C338" s="784">
        <f>IF(D274="","-",+C337+1)</f>
        <v>2071</v>
      </c>
      <c r="D338" s="732">
        <f t="shared" si="12"/>
        <v>0</v>
      </c>
      <c r="E338" s="785">
        <f t="shared" si="17"/>
        <v>0</v>
      </c>
      <c r="F338" s="732">
        <f t="shared" si="13"/>
        <v>0</v>
      </c>
      <c r="G338" s="790">
        <f t="shared" si="14"/>
        <v>0</v>
      </c>
      <c r="H338" s="791">
        <f t="shared" si="15"/>
        <v>0</v>
      </c>
      <c r="I338" s="788">
        <f t="shared" si="16"/>
        <v>0</v>
      </c>
      <c r="J338" s="788"/>
      <c r="K338" s="808"/>
      <c r="L338" s="792"/>
      <c r="M338" s="808"/>
      <c r="N338" s="792"/>
      <c r="O338" s="792"/>
    </row>
    <row r="339" spans="1:16" ht="13.5" thickBot="1">
      <c r="C339" s="794">
        <f>IF(D274="","-",+C338+1)</f>
        <v>2072</v>
      </c>
      <c r="D339" s="795">
        <f t="shared" si="12"/>
        <v>0</v>
      </c>
      <c r="E339" s="796">
        <f t="shared" si="17"/>
        <v>0</v>
      </c>
      <c r="F339" s="795">
        <f t="shared" si="13"/>
        <v>0</v>
      </c>
      <c r="G339" s="797">
        <f t="shared" si="14"/>
        <v>0</v>
      </c>
      <c r="H339" s="797">
        <f t="shared" si="15"/>
        <v>0</v>
      </c>
      <c r="I339" s="798">
        <f t="shared" si="16"/>
        <v>0</v>
      </c>
      <c r="J339" s="788"/>
      <c r="K339" s="809"/>
      <c r="L339" s="799"/>
      <c r="M339" s="809"/>
      <c r="N339" s="799"/>
      <c r="O339" s="799"/>
    </row>
    <row r="340" spans="1:16">
      <c r="C340" s="732" t="s">
        <v>93</v>
      </c>
      <c r="D340" s="726"/>
      <c r="E340" s="726">
        <f>SUM(E280:E339)</f>
        <v>5805542.9999999991</v>
      </c>
      <c r="F340" s="726"/>
      <c r="G340" s="726">
        <f>SUM(G280:G339)</f>
        <v>19569488.48485402</v>
      </c>
      <c r="H340" s="726">
        <f>SUM(H280:H339)</f>
        <v>19569488.48485402</v>
      </c>
      <c r="I340" s="726">
        <f>SUM(I280:I339)</f>
        <v>0</v>
      </c>
      <c r="J340" s="726"/>
      <c r="K340" s="726"/>
      <c r="L340" s="726"/>
      <c r="M340" s="726"/>
      <c r="N340" s="726"/>
      <c r="O340" s="313"/>
    </row>
    <row r="341" spans="1:16">
      <c r="D341" s="534"/>
      <c r="E341" s="313"/>
      <c r="F341" s="313"/>
      <c r="G341" s="313"/>
      <c r="H341" s="704"/>
      <c r="I341" s="704"/>
      <c r="J341" s="726"/>
      <c r="K341" s="704"/>
      <c r="L341" s="704"/>
      <c r="M341" s="704"/>
      <c r="N341" s="704"/>
      <c r="O341" s="313"/>
    </row>
    <row r="342" spans="1:16">
      <c r="C342" s="313" t="s">
        <v>15</v>
      </c>
      <c r="D342" s="534"/>
      <c r="E342" s="313"/>
      <c r="F342" s="313"/>
      <c r="G342" s="313"/>
      <c r="H342" s="704"/>
      <c r="I342" s="704"/>
      <c r="J342" s="726"/>
      <c r="K342" s="704"/>
      <c r="L342" s="704"/>
      <c r="M342" s="704"/>
      <c r="N342" s="704"/>
      <c r="O342" s="313"/>
    </row>
    <row r="343" spans="1:16">
      <c r="C343" s="313"/>
      <c r="D343" s="534"/>
      <c r="E343" s="313"/>
      <c r="F343" s="313"/>
      <c r="G343" s="313"/>
      <c r="H343" s="704"/>
      <c r="I343" s="704"/>
      <c r="J343" s="726"/>
      <c r="K343" s="704"/>
      <c r="L343" s="704"/>
      <c r="M343" s="704"/>
      <c r="N343" s="704"/>
      <c r="O343" s="313"/>
    </row>
    <row r="344" spans="1:16">
      <c r="C344" s="745" t="s">
        <v>16</v>
      </c>
      <c r="D344" s="732"/>
      <c r="E344" s="732"/>
      <c r="F344" s="732"/>
      <c r="G344" s="726"/>
      <c r="H344" s="726"/>
      <c r="I344" s="800"/>
      <c r="J344" s="800"/>
      <c r="K344" s="800"/>
      <c r="L344" s="800"/>
      <c r="M344" s="800"/>
      <c r="N344" s="800"/>
      <c r="O344" s="313"/>
    </row>
    <row r="345" spans="1:16">
      <c r="C345" s="731" t="s">
        <v>273</v>
      </c>
      <c r="D345" s="732"/>
      <c r="E345" s="732"/>
      <c r="F345" s="732"/>
      <c r="G345" s="726"/>
      <c r="H345" s="726"/>
      <c r="I345" s="800"/>
      <c r="J345" s="800"/>
      <c r="K345" s="800"/>
      <c r="L345" s="800"/>
      <c r="M345" s="800"/>
      <c r="N345" s="800"/>
      <c r="O345" s="313"/>
    </row>
    <row r="346" spans="1:16">
      <c r="C346" s="731" t="s">
        <v>94</v>
      </c>
      <c r="D346" s="732"/>
      <c r="E346" s="732"/>
      <c r="F346" s="732"/>
      <c r="G346" s="726"/>
      <c r="H346" s="726"/>
      <c r="I346" s="800"/>
      <c r="J346" s="800"/>
      <c r="K346" s="800"/>
      <c r="L346" s="800"/>
      <c r="M346" s="800"/>
      <c r="N346" s="800"/>
      <c r="O346" s="313"/>
    </row>
    <row r="347" spans="1:16">
      <c r="C347" s="731"/>
      <c r="D347" s="732"/>
      <c r="E347" s="732"/>
      <c r="F347" s="732"/>
      <c r="G347" s="726"/>
      <c r="H347" s="726"/>
      <c r="I347" s="800"/>
      <c r="J347" s="800"/>
      <c r="K347" s="800"/>
      <c r="L347" s="800"/>
      <c r="M347" s="800"/>
      <c r="N347" s="800"/>
      <c r="O347" s="313"/>
    </row>
    <row r="348" spans="1:16">
      <c r="C348" s="1556" t="s">
        <v>8</v>
      </c>
      <c r="D348" s="1556"/>
      <c r="E348" s="1556"/>
      <c r="F348" s="1556"/>
      <c r="G348" s="1556"/>
      <c r="H348" s="1556"/>
      <c r="I348" s="1556"/>
      <c r="J348" s="1556"/>
      <c r="K348" s="1556"/>
      <c r="L348" s="1556"/>
      <c r="M348" s="1556"/>
      <c r="N348" s="1556"/>
      <c r="O348" s="1556"/>
    </row>
    <row r="349" spans="1:16">
      <c r="C349" s="1556"/>
      <c r="D349" s="1556"/>
      <c r="E349" s="1556"/>
      <c r="F349" s="1556"/>
      <c r="G349" s="1556"/>
      <c r="H349" s="1556"/>
      <c r="I349" s="1556"/>
      <c r="J349" s="1556"/>
      <c r="K349" s="1556"/>
      <c r="L349" s="1556"/>
      <c r="M349" s="1556"/>
      <c r="N349" s="1556"/>
      <c r="O349" s="1556"/>
    </row>
    <row r="350" spans="1:16" ht="20.25">
      <c r="A350" s="733" t="str">
        <f>""&amp;A274&amp;" Worksheet J -  ATRR PROJECTED Calculation for PJM Projects Charged to Benefiting Zones"</f>
        <v xml:space="preserve"> Worksheet J -  ATRR PROJECTED Calculation for PJM Projects Charged to Benefiting Zones</v>
      </c>
      <c r="B350" s="346"/>
      <c r="C350" s="721"/>
      <c r="D350" s="534"/>
      <c r="E350" s="313"/>
      <c r="F350" s="703"/>
      <c r="G350" s="313"/>
      <c r="H350" s="704"/>
      <c r="K350" s="560"/>
      <c r="L350" s="560"/>
      <c r="M350" s="560"/>
      <c r="N350" s="649" t="str">
        <f>"Page "&amp;SUM(P$8:P350)&amp;" of "</f>
        <v xml:space="preserve">Page 5 of </v>
      </c>
      <c r="O350" s="650">
        <f>COUNT(P$8:P$56656)</f>
        <v>11</v>
      </c>
      <c r="P350" s="173">
        <v>1</v>
      </c>
    </row>
    <row r="351" spans="1:16">
      <c r="B351" s="346"/>
      <c r="C351" s="313"/>
      <c r="D351" s="534"/>
      <c r="E351" s="313"/>
      <c r="F351" s="313"/>
      <c r="G351" s="313"/>
      <c r="H351" s="704"/>
      <c r="I351" s="313"/>
      <c r="J351" s="423"/>
      <c r="K351" s="313"/>
      <c r="L351" s="313"/>
      <c r="M351" s="313"/>
      <c r="N351" s="313"/>
      <c r="O351" s="313"/>
    </row>
    <row r="352" spans="1:16" ht="18">
      <c r="B352" s="653" t="s">
        <v>474</v>
      </c>
      <c r="C352" s="735" t="s">
        <v>95</v>
      </c>
      <c r="D352" s="534"/>
      <c r="E352" s="313"/>
      <c r="F352" s="313"/>
      <c r="G352" s="313"/>
      <c r="H352" s="704"/>
      <c r="I352" s="704"/>
      <c r="J352" s="726"/>
      <c r="K352" s="704"/>
      <c r="L352" s="704"/>
      <c r="M352" s="704"/>
      <c r="N352" s="704"/>
      <c r="O352" s="313"/>
    </row>
    <row r="353" spans="2:15" ht="18.75">
      <c r="B353" s="653"/>
      <c r="C353" s="652"/>
      <c r="D353" s="534"/>
      <c r="E353" s="313"/>
      <c r="F353" s="313"/>
      <c r="G353" s="313"/>
      <c r="H353" s="704"/>
      <c r="I353" s="704"/>
      <c r="J353" s="726"/>
      <c r="K353" s="704"/>
      <c r="L353" s="704"/>
      <c r="M353" s="704"/>
      <c r="N353" s="704"/>
      <c r="O353" s="313"/>
    </row>
    <row r="354" spans="2:15" ht="18.75">
      <c r="B354" s="653"/>
      <c r="C354" s="652" t="s">
        <v>96</v>
      </c>
      <c r="D354" s="534"/>
      <c r="E354" s="313"/>
      <c r="F354" s="313"/>
      <c r="G354" s="313"/>
      <c r="H354" s="704"/>
      <c r="I354" s="704"/>
      <c r="J354" s="726"/>
      <c r="K354" s="704"/>
      <c r="L354" s="704"/>
      <c r="M354" s="704"/>
      <c r="N354" s="704"/>
      <c r="O354" s="313"/>
    </row>
    <row r="355" spans="2:15" ht="15.75" thickBot="1">
      <c r="C355" s="240"/>
      <c r="D355" s="534"/>
      <c r="E355" s="313"/>
      <c r="F355" s="313"/>
      <c r="G355" s="313"/>
      <c r="H355" s="704"/>
      <c r="I355" s="704"/>
      <c r="J355" s="726"/>
      <c r="K355" s="704"/>
      <c r="L355" s="704"/>
      <c r="M355" s="704"/>
      <c r="N355" s="704"/>
      <c r="O355" s="313"/>
    </row>
    <row r="356" spans="2:15" ht="15.75">
      <c r="C356" s="655" t="s">
        <v>97</v>
      </c>
      <c r="D356" s="534"/>
      <c r="E356" s="313"/>
      <c r="F356" s="313"/>
      <c r="G356" s="802"/>
      <c r="H356" s="313" t="s">
        <v>76</v>
      </c>
      <c r="I356" s="313"/>
      <c r="J356" s="423"/>
      <c r="K356" s="736" t="s">
        <v>101</v>
      </c>
      <c r="L356" s="737"/>
      <c r="M356" s="738"/>
      <c r="N356" s="739">
        <f>IF(I362=0,0,VLOOKUP(I362,C369:O428,5))</f>
        <v>7820456.4963482656</v>
      </c>
      <c r="O356" s="313"/>
    </row>
    <row r="357" spans="2:15" ht="15.75">
      <c r="C357" s="655"/>
      <c r="D357" s="534"/>
      <c r="E357" s="313"/>
      <c r="F357" s="313"/>
      <c r="G357" s="313"/>
      <c r="H357" s="740"/>
      <c r="I357" s="740"/>
      <c r="J357" s="741"/>
      <c r="K357" s="742" t="s">
        <v>102</v>
      </c>
      <c r="L357" s="743"/>
      <c r="M357" s="423"/>
      <c r="N357" s="744">
        <f>IF(I362=0,0,VLOOKUP(I362,C369:O428,6))</f>
        <v>7820456.4963482656</v>
      </c>
      <c r="O357" s="313"/>
    </row>
    <row r="358" spans="2:15" ht="13.5" thickBot="1">
      <c r="C358" s="745" t="s">
        <v>98</v>
      </c>
      <c r="D358" s="1557" t="s">
        <v>818</v>
      </c>
      <c r="E358" s="1557"/>
      <c r="F358" s="1557"/>
      <c r="G358" s="1557"/>
      <c r="H358" s="1557"/>
      <c r="I358" s="1557"/>
      <c r="J358" s="726"/>
      <c r="K358" s="746" t="s">
        <v>240</v>
      </c>
      <c r="L358" s="747"/>
      <c r="M358" s="747"/>
      <c r="N358" s="748">
        <f>+N357-N356</f>
        <v>0</v>
      </c>
      <c r="O358" s="313"/>
    </row>
    <row r="359" spans="2:15">
      <c r="C359" s="749"/>
      <c r="D359" s="1557"/>
      <c r="E359" s="1557"/>
      <c r="F359" s="1557"/>
      <c r="G359" s="1557"/>
      <c r="H359" s="1557"/>
      <c r="I359" s="1557"/>
      <c r="J359" s="726"/>
      <c r="K359" s="704"/>
      <c r="L359" s="704"/>
      <c r="M359" s="704"/>
      <c r="N359" s="704"/>
      <c r="O359" s="313"/>
    </row>
    <row r="360" spans="2:15" ht="13.5" thickBot="1">
      <c r="C360" s="752"/>
      <c r="D360" s="753"/>
      <c r="E360" s="751"/>
      <c r="F360" s="751"/>
      <c r="G360" s="751"/>
      <c r="H360" s="751"/>
      <c r="I360" s="751"/>
      <c r="J360" s="754"/>
      <c r="K360" s="751"/>
      <c r="L360" s="751"/>
      <c r="M360" s="751"/>
      <c r="N360" s="751"/>
      <c r="O360" s="346"/>
    </row>
    <row r="361" spans="2:15" ht="13.5" thickBot="1">
      <c r="C361" s="755" t="s">
        <v>99</v>
      </c>
      <c r="D361" s="756"/>
      <c r="E361" s="756"/>
      <c r="F361" s="756"/>
      <c r="G361" s="756"/>
      <c r="H361" s="756"/>
      <c r="I361" s="757"/>
      <c r="J361" s="758"/>
      <c r="K361" s="313"/>
      <c r="L361" s="313"/>
      <c r="M361" s="313"/>
      <c r="N361" s="313"/>
      <c r="O361" s="759"/>
    </row>
    <row r="362" spans="2:15" ht="15">
      <c r="C362" s="760" t="s">
        <v>77</v>
      </c>
      <c r="D362" s="804">
        <v>64354283</v>
      </c>
      <c r="E362" s="721" t="s">
        <v>78</v>
      </c>
      <c r="G362" s="761"/>
      <c r="H362" s="761"/>
      <c r="I362" s="762">
        <f>$L$26</f>
        <v>2021</v>
      </c>
      <c r="J362" s="550"/>
      <c r="K362" s="1558" t="s">
        <v>249</v>
      </c>
      <c r="L362" s="1558"/>
      <c r="M362" s="1558"/>
      <c r="N362" s="1558"/>
      <c r="O362" s="1558"/>
    </row>
    <row r="363" spans="2:15">
      <c r="C363" s="760" t="s">
        <v>80</v>
      </c>
      <c r="D363" s="805">
        <v>2014</v>
      </c>
      <c r="E363" s="760" t="s">
        <v>81</v>
      </c>
      <c r="F363" s="761"/>
      <c r="H363" s="173"/>
      <c r="I363" s="806">
        <f>IF(G356="",0,$F$17)</f>
        <v>0</v>
      </c>
      <c r="J363" s="763"/>
      <c r="K363" s="726" t="s">
        <v>249</v>
      </c>
    </row>
    <row r="364" spans="2:15">
      <c r="C364" s="760" t="s">
        <v>82</v>
      </c>
      <c r="D364" s="804">
        <v>10</v>
      </c>
      <c r="E364" s="760" t="s">
        <v>83</v>
      </c>
      <c r="F364" s="761"/>
      <c r="H364" s="173"/>
      <c r="I364" s="764">
        <f>$G$70</f>
        <v>0.11565015966136639</v>
      </c>
      <c r="J364" s="765"/>
      <c r="K364" s="173" t="str">
        <f>"          INPUT PROJECTED ARR (WITH &amp; WITHOUT INCENTIVES) FROM EACH PRIOR YEAR"</f>
        <v xml:space="preserve">          INPUT PROJECTED ARR (WITH &amp; WITHOUT INCENTIVES) FROM EACH PRIOR YEAR</v>
      </c>
    </row>
    <row r="365" spans="2:15">
      <c r="C365" s="760" t="s">
        <v>84</v>
      </c>
      <c r="D365" s="766">
        <f>$G$79</f>
        <v>39</v>
      </c>
      <c r="E365" s="760" t="s">
        <v>85</v>
      </c>
      <c r="F365" s="761"/>
      <c r="H365" s="173"/>
      <c r="I365" s="764">
        <f>IF(G356="",I364,$G$69)</f>
        <v>0.11565015966136639</v>
      </c>
      <c r="J365" s="767"/>
      <c r="K365" s="173" t="s">
        <v>162</v>
      </c>
    </row>
    <row r="366" spans="2:15" ht="13.5" thickBot="1">
      <c r="C366" s="760" t="s">
        <v>86</v>
      </c>
      <c r="D366" s="803" t="s">
        <v>814</v>
      </c>
      <c r="E366" s="768" t="s">
        <v>87</v>
      </c>
      <c r="F366" s="769"/>
      <c r="G366" s="770"/>
      <c r="H366" s="770"/>
      <c r="I366" s="748">
        <f>IF(D362=0,0,D362/D365)</f>
        <v>1650109.8205128205</v>
      </c>
      <c r="J366" s="726"/>
      <c r="K366" s="726" t="s">
        <v>168</v>
      </c>
      <c r="L366" s="726"/>
      <c r="M366" s="726"/>
      <c r="N366" s="726"/>
      <c r="O366" s="423"/>
    </row>
    <row r="367" spans="2:15" ht="51">
      <c r="B367" s="841"/>
      <c r="C367" s="771" t="s">
        <v>77</v>
      </c>
      <c r="D367" s="772" t="s">
        <v>88</v>
      </c>
      <c r="E367" s="773" t="s">
        <v>89</v>
      </c>
      <c r="F367" s="772" t="s">
        <v>90</v>
      </c>
      <c r="G367" s="773" t="s">
        <v>161</v>
      </c>
      <c r="H367" s="774" t="s">
        <v>161</v>
      </c>
      <c r="I367" s="771" t="s">
        <v>100</v>
      </c>
      <c r="J367" s="775"/>
      <c r="K367" s="773" t="s">
        <v>170</v>
      </c>
      <c r="L367" s="776"/>
      <c r="M367" s="773" t="s">
        <v>170</v>
      </c>
      <c r="N367" s="776"/>
      <c r="O367" s="776"/>
    </row>
    <row r="368" spans="2:15" ht="13.5" thickBot="1">
      <c r="C368" s="777" t="s">
        <v>477</v>
      </c>
      <c r="D368" s="778" t="s">
        <v>478</v>
      </c>
      <c r="E368" s="777" t="s">
        <v>371</v>
      </c>
      <c r="F368" s="778" t="s">
        <v>478</v>
      </c>
      <c r="G368" s="779" t="s">
        <v>103</v>
      </c>
      <c r="H368" s="780" t="s">
        <v>105</v>
      </c>
      <c r="I368" s="781" t="s">
        <v>17</v>
      </c>
      <c r="J368" s="782"/>
      <c r="K368" s="779" t="s">
        <v>92</v>
      </c>
      <c r="L368" s="783"/>
      <c r="M368" s="779" t="s">
        <v>105</v>
      </c>
      <c r="N368" s="783"/>
      <c r="O368" s="783"/>
    </row>
    <row r="369" spans="3:15">
      <c r="C369" s="784">
        <f>IF(D363= "","-",D363)</f>
        <v>2014</v>
      </c>
      <c r="D369" s="732">
        <f>+D362</f>
        <v>64354283</v>
      </c>
      <c r="E369" s="785">
        <f>+I366/12*(12-D364)</f>
        <v>275018.30341880344</v>
      </c>
      <c r="F369" s="732">
        <f>+D369-E369</f>
        <v>64079264.6965812</v>
      </c>
      <c r="G369" s="993">
        <f>+$I$96*((D369+F369)/2)+E369</f>
        <v>7701698.451911469</v>
      </c>
      <c r="H369" s="994">
        <f>$I$97*((D369+F369)/2)+E369</f>
        <v>7701698.451911469</v>
      </c>
      <c r="I369" s="788">
        <f>+H369-G369</f>
        <v>0</v>
      </c>
      <c r="J369" s="788"/>
      <c r="K369" s="807" t="s">
        <v>819</v>
      </c>
      <c r="L369" s="789"/>
      <c r="M369" s="807" t="s">
        <v>820</v>
      </c>
      <c r="N369" s="789"/>
      <c r="O369" s="789"/>
    </row>
    <row r="370" spans="3:15">
      <c r="C370" s="784">
        <f>IF(D363="","-",+C369+1)</f>
        <v>2015</v>
      </c>
      <c r="D370" s="732">
        <f t="shared" ref="D370:D428" si="18">F369</f>
        <v>64079264.6965812</v>
      </c>
      <c r="E370" s="785">
        <f>IF(D370&gt;$I$366,$I$366,D370)</f>
        <v>1650109.8205128205</v>
      </c>
      <c r="F370" s="732">
        <f t="shared" ref="F370:F428" si="19">+D370-E370</f>
        <v>62429154.876068376</v>
      </c>
      <c r="G370" s="790">
        <f t="shared" ref="G370:G428" si="20">+$I$96*((D370+F370)/2)+E370</f>
        <v>8965469.2815548461</v>
      </c>
      <c r="H370" s="791">
        <f t="shared" ref="H370:H428" si="21">$I$97*((D370+F370)/2)+E370</f>
        <v>8965469.2815548461</v>
      </c>
      <c r="I370" s="788">
        <f t="shared" ref="I370:I428" si="22">+H370-G370</f>
        <v>0</v>
      </c>
      <c r="J370" s="788"/>
      <c r="K370" s="808">
        <v>1745562</v>
      </c>
      <c r="L370" s="792"/>
      <c r="M370" s="808">
        <v>1745562</v>
      </c>
      <c r="N370" s="792"/>
      <c r="O370" s="792"/>
    </row>
    <row r="371" spans="3:15">
      <c r="C371" s="784">
        <f>IF(D363="","-",+C370+1)</f>
        <v>2016</v>
      </c>
      <c r="D371" s="732">
        <f t="shared" si="18"/>
        <v>62429154.876068376</v>
      </c>
      <c r="E371" s="785">
        <f t="shared" ref="E371:E428" si="23">IF(D371&gt;$I$366,$I$366,D371)</f>
        <v>1650109.8205128205</v>
      </c>
      <c r="F371" s="732">
        <f t="shared" si="19"/>
        <v>60779045.055555552</v>
      </c>
      <c r="G371" s="790">
        <f t="shared" si="20"/>
        <v>8774633.8173537515</v>
      </c>
      <c r="H371" s="791">
        <f t="shared" si="21"/>
        <v>8774633.8173537515</v>
      </c>
      <c r="I371" s="788">
        <f t="shared" si="22"/>
        <v>0</v>
      </c>
      <c r="J371" s="788"/>
      <c r="K371" s="808">
        <v>1596924</v>
      </c>
      <c r="L371" s="792"/>
      <c r="M371" s="808">
        <v>1596924</v>
      </c>
      <c r="N371" s="792"/>
      <c r="O371" s="792"/>
    </row>
    <row r="372" spans="3:15">
      <c r="C372" s="784">
        <f>IF(D363="","-",+C371+1)</f>
        <v>2017</v>
      </c>
      <c r="D372" s="732">
        <f t="shared" si="18"/>
        <v>60779045.055555552</v>
      </c>
      <c r="E372" s="785">
        <f t="shared" si="23"/>
        <v>1650109.8205128205</v>
      </c>
      <c r="F372" s="732">
        <f t="shared" si="19"/>
        <v>59128935.235042728</v>
      </c>
      <c r="G372" s="790">
        <f t="shared" si="20"/>
        <v>8583798.3531526532</v>
      </c>
      <c r="H372" s="791">
        <f t="shared" si="21"/>
        <v>8583798.3531526532</v>
      </c>
      <c r="I372" s="788">
        <f t="shared" si="22"/>
        <v>0</v>
      </c>
      <c r="J372" s="788"/>
      <c r="K372" s="808">
        <v>8620533</v>
      </c>
      <c r="L372" s="792"/>
      <c r="M372" s="808">
        <v>8620533</v>
      </c>
      <c r="N372" s="792"/>
      <c r="O372" s="792"/>
    </row>
    <row r="373" spans="3:15">
      <c r="C373" s="1327">
        <f>IF(D363="","-",+C372+1)</f>
        <v>2018</v>
      </c>
      <c r="D373" s="732">
        <f t="shared" si="18"/>
        <v>59128935.235042728</v>
      </c>
      <c r="E373" s="785">
        <f t="shared" si="23"/>
        <v>1650109.8205128205</v>
      </c>
      <c r="F373" s="732">
        <f t="shared" si="19"/>
        <v>57478825.414529905</v>
      </c>
      <c r="G373" s="790">
        <f t="shared" si="20"/>
        <v>8392962.8889515568</v>
      </c>
      <c r="H373" s="791">
        <f t="shared" si="21"/>
        <v>8392962.8889515568</v>
      </c>
      <c r="I373" s="788">
        <f t="shared" si="22"/>
        <v>0</v>
      </c>
      <c r="J373" s="788"/>
      <c r="K373" s="808">
        <v>6863859</v>
      </c>
      <c r="L373" s="792"/>
      <c r="M373" s="808">
        <v>6863859</v>
      </c>
      <c r="N373" s="792"/>
      <c r="O373" s="792"/>
    </row>
    <row r="374" spans="3:15">
      <c r="C374" s="1304">
        <f>IF(D363="","-",+C373+1)</f>
        <v>2019</v>
      </c>
      <c r="D374" s="732">
        <f t="shared" si="18"/>
        <v>57478825.414529905</v>
      </c>
      <c r="E374" s="785">
        <f t="shared" si="23"/>
        <v>1650109.8205128205</v>
      </c>
      <c r="F374" s="732">
        <f t="shared" si="19"/>
        <v>55828715.594017081</v>
      </c>
      <c r="G374" s="790">
        <f t="shared" si="20"/>
        <v>8202127.4247504603</v>
      </c>
      <c r="H374" s="791">
        <f t="shared" si="21"/>
        <v>8202127.4247504603</v>
      </c>
      <c r="I374" s="788">
        <f t="shared" si="22"/>
        <v>0</v>
      </c>
      <c r="J374" s="788"/>
      <c r="K374" s="808"/>
      <c r="L374" s="792"/>
      <c r="M374" s="808"/>
      <c r="N374" s="792"/>
      <c r="O374" s="792"/>
    </row>
    <row r="375" spans="3:15">
      <c r="C375" s="784">
        <f>IF(D363="","-",+C374+1)</f>
        <v>2020</v>
      </c>
      <c r="D375" s="732">
        <f t="shared" si="18"/>
        <v>55828715.594017081</v>
      </c>
      <c r="E375" s="785">
        <f t="shared" si="23"/>
        <v>1650109.8205128205</v>
      </c>
      <c r="F375" s="732">
        <f t="shared" si="19"/>
        <v>54178605.773504257</v>
      </c>
      <c r="G375" s="790">
        <f t="shared" si="20"/>
        <v>8011291.9605493639</v>
      </c>
      <c r="H375" s="791">
        <f t="shared" si="21"/>
        <v>8011291.9605493639</v>
      </c>
      <c r="I375" s="788">
        <f t="shared" si="22"/>
        <v>0</v>
      </c>
      <c r="J375" s="788"/>
      <c r="K375" s="808"/>
      <c r="L375" s="792"/>
      <c r="M375" s="808"/>
      <c r="N375" s="792"/>
      <c r="O375" s="792"/>
    </row>
    <row r="376" spans="3:15">
      <c r="C376" s="784">
        <f>IF(D363="","-",+C375+1)</f>
        <v>2021</v>
      </c>
      <c r="D376" s="732">
        <f t="shared" si="18"/>
        <v>54178605.773504257</v>
      </c>
      <c r="E376" s="785">
        <f t="shared" si="23"/>
        <v>1650109.8205128205</v>
      </c>
      <c r="F376" s="732">
        <f t="shared" si="19"/>
        <v>52528495.952991433</v>
      </c>
      <c r="G376" s="790">
        <f t="shared" si="20"/>
        <v>7820456.4963482656</v>
      </c>
      <c r="H376" s="791">
        <f t="shared" si="21"/>
        <v>7820456.4963482656</v>
      </c>
      <c r="I376" s="788">
        <f t="shared" si="22"/>
        <v>0</v>
      </c>
      <c r="J376" s="788"/>
      <c r="K376" s="808"/>
      <c r="L376" s="792"/>
      <c r="M376" s="808"/>
      <c r="N376" s="792"/>
      <c r="O376" s="792"/>
    </row>
    <row r="377" spans="3:15">
      <c r="C377" s="784">
        <f>IF(D363="","-",+C376+1)</f>
        <v>2022</v>
      </c>
      <c r="D377" s="732">
        <f t="shared" si="18"/>
        <v>52528495.952991433</v>
      </c>
      <c r="E377" s="785">
        <f t="shared" si="23"/>
        <v>1650109.8205128205</v>
      </c>
      <c r="F377" s="732">
        <f t="shared" si="19"/>
        <v>50878386.13247861</v>
      </c>
      <c r="G377" s="790">
        <f t="shared" si="20"/>
        <v>7629621.032147171</v>
      </c>
      <c r="H377" s="791">
        <f t="shared" si="21"/>
        <v>7629621.032147171</v>
      </c>
      <c r="I377" s="788">
        <f t="shared" si="22"/>
        <v>0</v>
      </c>
      <c r="J377" s="788"/>
      <c r="K377" s="808"/>
      <c r="L377" s="792"/>
      <c r="M377" s="808"/>
      <c r="N377" s="792"/>
      <c r="O377" s="792"/>
    </row>
    <row r="378" spans="3:15">
      <c r="C378" s="784">
        <f>IF(D363="","-",+C377+1)</f>
        <v>2023</v>
      </c>
      <c r="D378" s="732">
        <f t="shared" si="18"/>
        <v>50878386.13247861</v>
      </c>
      <c r="E378" s="785">
        <f t="shared" si="23"/>
        <v>1650109.8205128205</v>
      </c>
      <c r="F378" s="732">
        <f t="shared" si="19"/>
        <v>49228276.311965786</v>
      </c>
      <c r="G378" s="790">
        <f t="shared" si="20"/>
        <v>7438785.5679460727</v>
      </c>
      <c r="H378" s="791">
        <f t="shared" si="21"/>
        <v>7438785.5679460727</v>
      </c>
      <c r="I378" s="788">
        <f t="shared" si="22"/>
        <v>0</v>
      </c>
      <c r="J378" s="788"/>
      <c r="K378" s="808"/>
      <c r="L378" s="792"/>
      <c r="M378" s="808"/>
      <c r="N378" s="792"/>
      <c r="O378" s="792"/>
    </row>
    <row r="379" spans="3:15">
      <c r="C379" s="784">
        <f>IF(D363="","-",+C378+1)</f>
        <v>2024</v>
      </c>
      <c r="D379" s="732">
        <f t="shared" si="18"/>
        <v>49228276.311965786</v>
      </c>
      <c r="E379" s="785">
        <f t="shared" si="23"/>
        <v>1650109.8205128205</v>
      </c>
      <c r="F379" s="732">
        <f t="shared" si="19"/>
        <v>47578166.491452962</v>
      </c>
      <c r="G379" s="790">
        <f t="shared" si="20"/>
        <v>7247950.1037449762</v>
      </c>
      <c r="H379" s="791">
        <f t="shared" si="21"/>
        <v>7247950.1037449762</v>
      </c>
      <c r="I379" s="788">
        <f t="shared" si="22"/>
        <v>0</v>
      </c>
      <c r="J379" s="788"/>
      <c r="K379" s="808"/>
      <c r="L379" s="792"/>
      <c r="M379" s="808"/>
      <c r="N379" s="792"/>
      <c r="O379" s="792"/>
    </row>
    <row r="380" spans="3:15">
      <c r="C380" s="784">
        <f>IF(D363="","-",+C379+1)</f>
        <v>2025</v>
      </c>
      <c r="D380" s="732">
        <f t="shared" si="18"/>
        <v>47578166.491452962</v>
      </c>
      <c r="E380" s="785">
        <f t="shared" si="23"/>
        <v>1650109.8205128205</v>
      </c>
      <c r="F380" s="732">
        <f t="shared" si="19"/>
        <v>45928056.670940138</v>
      </c>
      <c r="G380" s="790">
        <f t="shared" si="20"/>
        <v>7057114.6395438798</v>
      </c>
      <c r="H380" s="791">
        <f t="shared" si="21"/>
        <v>7057114.6395438798</v>
      </c>
      <c r="I380" s="788">
        <f t="shared" si="22"/>
        <v>0</v>
      </c>
      <c r="J380" s="788"/>
      <c r="K380" s="808"/>
      <c r="L380" s="792"/>
      <c r="M380" s="808"/>
      <c r="N380" s="792"/>
      <c r="O380" s="792"/>
    </row>
    <row r="381" spans="3:15">
      <c r="C381" s="784">
        <f>IF(D363="","-",+C380+1)</f>
        <v>2026</v>
      </c>
      <c r="D381" s="732">
        <f t="shared" si="18"/>
        <v>45928056.670940138</v>
      </c>
      <c r="E381" s="785">
        <f t="shared" si="23"/>
        <v>1650109.8205128205</v>
      </c>
      <c r="F381" s="732">
        <f t="shared" si="19"/>
        <v>44277946.850427315</v>
      </c>
      <c r="G381" s="790">
        <f t="shared" si="20"/>
        <v>6866279.1753427833</v>
      </c>
      <c r="H381" s="791">
        <f t="shared" si="21"/>
        <v>6866279.1753427833</v>
      </c>
      <c r="I381" s="788">
        <f t="shared" si="22"/>
        <v>0</v>
      </c>
      <c r="J381" s="788"/>
      <c r="K381" s="808"/>
      <c r="L381" s="792"/>
      <c r="M381" s="808"/>
      <c r="N381" s="793"/>
      <c r="O381" s="792"/>
    </row>
    <row r="382" spans="3:15">
      <c r="C382" s="784">
        <f>IF(D363="","-",+C381+1)</f>
        <v>2027</v>
      </c>
      <c r="D382" s="732">
        <f t="shared" si="18"/>
        <v>44277946.850427315</v>
      </c>
      <c r="E382" s="785">
        <f t="shared" si="23"/>
        <v>1650109.8205128205</v>
      </c>
      <c r="F382" s="732">
        <f t="shared" si="19"/>
        <v>42627837.029914491</v>
      </c>
      <c r="G382" s="790">
        <f t="shared" si="20"/>
        <v>6675443.711141685</v>
      </c>
      <c r="H382" s="791">
        <f t="shared" si="21"/>
        <v>6675443.711141685</v>
      </c>
      <c r="I382" s="788">
        <f t="shared" si="22"/>
        <v>0</v>
      </c>
      <c r="J382" s="788"/>
      <c r="K382" s="808"/>
      <c r="L382" s="792"/>
      <c r="M382" s="808"/>
      <c r="N382" s="792"/>
      <c r="O382" s="792"/>
    </row>
    <row r="383" spans="3:15">
      <c r="C383" s="784">
        <f>IF(D363="","-",+C382+1)</f>
        <v>2028</v>
      </c>
      <c r="D383" s="732">
        <f t="shared" si="18"/>
        <v>42627837.029914491</v>
      </c>
      <c r="E383" s="785">
        <f t="shared" si="23"/>
        <v>1650109.8205128205</v>
      </c>
      <c r="F383" s="732">
        <f t="shared" si="19"/>
        <v>40977727.209401667</v>
      </c>
      <c r="G383" s="790">
        <f t="shared" si="20"/>
        <v>6484608.2469405904</v>
      </c>
      <c r="H383" s="791">
        <f t="shared" si="21"/>
        <v>6484608.2469405904</v>
      </c>
      <c r="I383" s="788">
        <f t="shared" si="22"/>
        <v>0</v>
      </c>
      <c r="J383" s="788"/>
      <c r="K383" s="808"/>
      <c r="L383" s="792"/>
      <c r="M383" s="808"/>
      <c r="N383" s="792"/>
      <c r="O383" s="792"/>
    </row>
    <row r="384" spans="3:15">
      <c r="C384" s="784">
        <f>IF(D363="","-",+C383+1)</f>
        <v>2029</v>
      </c>
      <c r="D384" s="732">
        <f t="shared" si="18"/>
        <v>40977727.209401667</v>
      </c>
      <c r="E384" s="785">
        <f t="shared" si="23"/>
        <v>1650109.8205128205</v>
      </c>
      <c r="F384" s="732">
        <f t="shared" si="19"/>
        <v>39327617.388888843</v>
      </c>
      <c r="G384" s="790">
        <f t="shared" si="20"/>
        <v>6293772.7827394921</v>
      </c>
      <c r="H384" s="791">
        <f t="shared" si="21"/>
        <v>6293772.7827394921</v>
      </c>
      <c r="I384" s="788">
        <f t="shared" si="22"/>
        <v>0</v>
      </c>
      <c r="J384" s="788"/>
      <c r="K384" s="808"/>
      <c r="L384" s="792"/>
      <c r="M384" s="808"/>
      <c r="N384" s="792"/>
      <c r="O384" s="792"/>
    </row>
    <row r="385" spans="3:15">
      <c r="C385" s="784">
        <f>IF(D363="","-",+C384+1)</f>
        <v>2030</v>
      </c>
      <c r="D385" s="732">
        <f t="shared" si="18"/>
        <v>39327617.388888843</v>
      </c>
      <c r="E385" s="785">
        <f t="shared" si="23"/>
        <v>1650109.8205128205</v>
      </c>
      <c r="F385" s="732">
        <f t="shared" si="19"/>
        <v>37677507.56837602</v>
      </c>
      <c r="G385" s="790">
        <f t="shared" si="20"/>
        <v>6102937.3185383976</v>
      </c>
      <c r="H385" s="791">
        <f t="shared" si="21"/>
        <v>6102937.3185383976</v>
      </c>
      <c r="I385" s="788">
        <f t="shared" si="22"/>
        <v>0</v>
      </c>
      <c r="J385" s="788"/>
      <c r="K385" s="808"/>
      <c r="L385" s="792"/>
      <c r="M385" s="808"/>
      <c r="N385" s="792"/>
      <c r="O385" s="792"/>
    </row>
    <row r="386" spans="3:15">
      <c r="C386" s="784">
        <f>IF(D363="","-",+C385+1)</f>
        <v>2031</v>
      </c>
      <c r="D386" s="732">
        <f t="shared" si="18"/>
        <v>37677507.56837602</v>
      </c>
      <c r="E386" s="785">
        <f t="shared" si="23"/>
        <v>1650109.8205128205</v>
      </c>
      <c r="F386" s="732">
        <f t="shared" si="19"/>
        <v>36027397.747863196</v>
      </c>
      <c r="G386" s="790">
        <f t="shared" si="20"/>
        <v>5912101.8543372992</v>
      </c>
      <c r="H386" s="791">
        <f t="shared" si="21"/>
        <v>5912101.8543372992</v>
      </c>
      <c r="I386" s="788">
        <f t="shared" si="22"/>
        <v>0</v>
      </c>
      <c r="J386" s="788"/>
      <c r="K386" s="808"/>
      <c r="L386" s="792"/>
      <c r="M386" s="808"/>
      <c r="N386" s="792"/>
      <c r="O386" s="792"/>
    </row>
    <row r="387" spans="3:15">
      <c r="C387" s="784">
        <f>IF(D363="","-",+C386+1)</f>
        <v>2032</v>
      </c>
      <c r="D387" s="732">
        <f t="shared" si="18"/>
        <v>36027397.747863196</v>
      </c>
      <c r="E387" s="785">
        <f t="shared" si="23"/>
        <v>1650109.8205128205</v>
      </c>
      <c r="F387" s="732">
        <f t="shared" si="19"/>
        <v>34377287.927350372</v>
      </c>
      <c r="G387" s="790">
        <f t="shared" si="20"/>
        <v>5721266.3901362028</v>
      </c>
      <c r="H387" s="791">
        <f t="shared" si="21"/>
        <v>5721266.3901362028</v>
      </c>
      <c r="I387" s="788">
        <f t="shared" si="22"/>
        <v>0</v>
      </c>
      <c r="J387" s="788"/>
      <c r="K387" s="808"/>
      <c r="L387" s="792"/>
      <c r="M387" s="808"/>
      <c r="N387" s="792"/>
      <c r="O387" s="792"/>
    </row>
    <row r="388" spans="3:15">
      <c r="C388" s="784">
        <f>IF(D363="","-",+C387+1)</f>
        <v>2033</v>
      </c>
      <c r="D388" s="732">
        <f t="shared" si="18"/>
        <v>34377287.927350372</v>
      </c>
      <c r="E388" s="785">
        <f t="shared" si="23"/>
        <v>1650109.8205128205</v>
      </c>
      <c r="F388" s="732">
        <f t="shared" si="19"/>
        <v>32727178.106837552</v>
      </c>
      <c r="G388" s="790">
        <f t="shared" si="20"/>
        <v>5530430.9259351064</v>
      </c>
      <c r="H388" s="791">
        <f t="shared" si="21"/>
        <v>5530430.9259351064</v>
      </c>
      <c r="I388" s="788">
        <f t="shared" si="22"/>
        <v>0</v>
      </c>
      <c r="J388" s="788"/>
      <c r="K388" s="808"/>
      <c r="L388" s="792"/>
      <c r="M388" s="808"/>
      <c r="N388" s="792"/>
      <c r="O388" s="792"/>
    </row>
    <row r="389" spans="3:15">
      <c r="C389" s="784">
        <f>IF(D363="","-",+C388+1)</f>
        <v>2034</v>
      </c>
      <c r="D389" s="732">
        <f t="shared" si="18"/>
        <v>32727178.106837552</v>
      </c>
      <c r="E389" s="785">
        <f t="shared" si="23"/>
        <v>1650109.8205128205</v>
      </c>
      <c r="F389" s="732">
        <f t="shared" si="19"/>
        <v>31077068.286324732</v>
      </c>
      <c r="G389" s="790">
        <f t="shared" si="20"/>
        <v>5339595.4617340099</v>
      </c>
      <c r="H389" s="791">
        <f t="shared" si="21"/>
        <v>5339595.4617340099</v>
      </c>
      <c r="I389" s="788">
        <f t="shared" si="22"/>
        <v>0</v>
      </c>
      <c r="J389" s="788"/>
      <c r="K389" s="808"/>
      <c r="L389" s="792"/>
      <c r="M389" s="808"/>
      <c r="N389" s="792"/>
      <c r="O389" s="792"/>
    </row>
    <row r="390" spans="3:15">
      <c r="C390" s="784">
        <f>IF(D363="","-",+C389+1)</f>
        <v>2035</v>
      </c>
      <c r="D390" s="732">
        <f t="shared" si="18"/>
        <v>31077068.286324732</v>
      </c>
      <c r="E390" s="785">
        <f t="shared" si="23"/>
        <v>1650109.8205128205</v>
      </c>
      <c r="F390" s="732">
        <f t="shared" si="19"/>
        <v>29426958.465811912</v>
      </c>
      <c r="G390" s="790">
        <f t="shared" si="20"/>
        <v>5148759.9975329135</v>
      </c>
      <c r="H390" s="791">
        <f t="shared" si="21"/>
        <v>5148759.9975329135</v>
      </c>
      <c r="I390" s="788">
        <f t="shared" si="22"/>
        <v>0</v>
      </c>
      <c r="J390" s="788"/>
      <c r="K390" s="808"/>
      <c r="L390" s="792"/>
      <c r="M390" s="808"/>
      <c r="N390" s="792"/>
      <c r="O390" s="792"/>
    </row>
    <row r="391" spans="3:15">
      <c r="C391" s="784">
        <f>IF(D363="","-",+C390+1)</f>
        <v>2036</v>
      </c>
      <c r="D391" s="732">
        <f t="shared" si="18"/>
        <v>29426958.465811912</v>
      </c>
      <c r="E391" s="785">
        <f t="shared" si="23"/>
        <v>1650109.8205128205</v>
      </c>
      <c r="F391" s="732">
        <f t="shared" si="19"/>
        <v>27776848.645299092</v>
      </c>
      <c r="G391" s="790">
        <f t="shared" si="20"/>
        <v>4957924.533331817</v>
      </c>
      <c r="H391" s="791">
        <f t="shared" si="21"/>
        <v>4957924.533331817</v>
      </c>
      <c r="I391" s="788">
        <f t="shared" si="22"/>
        <v>0</v>
      </c>
      <c r="J391" s="788"/>
      <c r="K391" s="808"/>
      <c r="L391" s="792"/>
      <c r="M391" s="808"/>
      <c r="N391" s="792"/>
      <c r="O391" s="792"/>
    </row>
    <row r="392" spans="3:15">
      <c r="C392" s="784">
        <f>IF(D363="","-",+C391+1)</f>
        <v>2037</v>
      </c>
      <c r="D392" s="732">
        <f t="shared" si="18"/>
        <v>27776848.645299092</v>
      </c>
      <c r="E392" s="785">
        <f t="shared" si="23"/>
        <v>1650109.8205128205</v>
      </c>
      <c r="F392" s="732">
        <f t="shared" si="19"/>
        <v>26126738.824786272</v>
      </c>
      <c r="G392" s="790">
        <f t="shared" si="20"/>
        <v>4767089.0691307215</v>
      </c>
      <c r="H392" s="791">
        <f t="shared" si="21"/>
        <v>4767089.0691307215</v>
      </c>
      <c r="I392" s="788">
        <f t="shared" si="22"/>
        <v>0</v>
      </c>
      <c r="J392" s="788"/>
      <c r="K392" s="808"/>
      <c r="L392" s="792"/>
      <c r="M392" s="808"/>
      <c r="N392" s="792"/>
      <c r="O392" s="792"/>
    </row>
    <row r="393" spans="3:15">
      <c r="C393" s="784">
        <f>IF(D363="","-",+C392+1)</f>
        <v>2038</v>
      </c>
      <c r="D393" s="732">
        <f t="shared" si="18"/>
        <v>26126738.824786272</v>
      </c>
      <c r="E393" s="785">
        <f t="shared" si="23"/>
        <v>1650109.8205128205</v>
      </c>
      <c r="F393" s="732">
        <f t="shared" si="19"/>
        <v>24476629.004273452</v>
      </c>
      <c r="G393" s="790">
        <f t="shared" si="20"/>
        <v>4576253.6049296241</v>
      </c>
      <c r="H393" s="791">
        <f t="shared" si="21"/>
        <v>4576253.6049296241</v>
      </c>
      <c r="I393" s="788">
        <f t="shared" si="22"/>
        <v>0</v>
      </c>
      <c r="J393" s="788"/>
      <c r="K393" s="808"/>
      <c r="L393" s="792"/>
      <c r="M393" s="808"/>
      <c r="N393" s="792"/>
      <c r="O393" s="792"/>
    </row>
    <row r="394" spans="3:15">
      <c r="C394" s="784">
        <f>IF(D363="","-",+C393+1)</f>
        <v>2039</v>
      </c>
      <c r="D394" s="732">
        <f t="shared" si="18"/>
        <v>24476629.004273452</v>
      </c>
      <c r="E394" s="785">
        <f t="shared" si="23"/>
        <v>1650109.8205128205</v>
      </c>
      <c r="F394" s="732">
        <f t="shared" si="19"/>
        <v>22826519.183760632</v>
      </c>
      <c r="G394" s="790">
        <f t="shared" si="20"/>
        <v>4385418.1407285286</v>
      </c>
      <c r="H394" s="791">
        <f t="shared" si="21"/>
        <v>4385418.1407285286</v>
      </c>
      <c r="I394" s="788">
        <f t="shared" si="22"/>
        <v>0</v>
      </c>
      <c r="J394" s="788"/>
      <c r="K394" s="808"/>
      <c r="L394" s="792"/>
      <c r="M394" s="808"/>
      <c r="N394" s="792"/>
      <c r="O394" s="792"/>
    </row>
    <row r="395" spans="3:15">
      <c r="C395" s="784">
        <f>IF(D363="","-",+C394+1)</f>
        <v>2040</v>
      </c>
      <c r="D395" s="732">
        <f t="shared" si="18"/>
        <v>22826519.183760632</v>
      </c>
      <c r="E395" s="785">
        <f t="shared" si="23"/>
        <v>1650109.8205128205</v>
      </c>
      <c r="F395" s="732">
        <f t="shared" si="19"/>
        <v>21176409.363247812</v>
      </c>
      <c r="G395" s="790">
        <f t="shared" si="20"/>
        <v>4194582.6765274322</v>
      </c>
      <c r="H395" s="791">
        <f t="shared" si="21"/>
        <v>4194582.6765274322</v>
      </c>
      <c r="I395" s="788">
        <f t="shared" si="22"/>
        <v>0</v>
      </c>
      <c r="J395" s="788"/>
      <c r="K395" s="808"/>
      <c r="L395" s="792"/>
      <c r="M395" s="808"/>
      <c r="N395" s="792"/>
      <c r="O395" s="792"/>
    </row>
    <row r="396" spans="3:15">
      <c r="C396" s="784">
        <f>IF(D363="","-",+C395+1)</f>
        <v>2041</v>
      </c>
      <c r="D396" s="732">
        <f t="shared" si="18"/>
        <v>21176409.363247812</v>
      </c>
      <c r="E396" s="785">
        <f t="shared" si="23"/>
        <v>1650109.8205128205</v>
      </c>
      <c r="F396" s="732">
        <f t="shared" si="19"/>
        <v>19526299.542734992</v>
      </c>
      <c r="G396" s="790">
        <f t="shared" si="20"/>
        <v>4003747.2123263362</v>
      </c>
      <c r="H396" s="791">
        <f t="shared" si="21"/>
        <v>4003747.2123263362</v>
      </c>
      <c r="I396" s="788">
        <f t="shared" si="22"/>
        <v>0</v>
      </c>
      <c r="J396" s="788"/>
      <c r="K396" s="808"/>
      <c r="L396" s="792"/>
      <c r="M396" s="808"/>
      <c r="N396" s="792"/>
      <c r="O396" s="792"/>
    </row>
    <row r="397" spans="3:15">
      <c r="C397" s="784">
        <f>IF(D363="","-",+C396+1)</f>
        <v>2042</v>
      </c>
      <c r="D397" s="732">
        <f t="shared" si="18"/>
        <v>19526299.542734992</v>
      </c>
      <c r="E397" s="785">
        <f t="shared" si="23"/>
        <v>1650109.8205128205</v>
      </c>
      <c r="F397" s="732">
        <f t="shared" si="19"/>
        <v>17876189.722222172</v>
      </c>
      <c r="G397" s="786">
        <f t="shared" si="20"/>
        <v>3812911.7481252397</v>
      </c>
      <c r="H397" s="791">
        <f t="shared" si="21"/>
        <v>3812911.7481252397</v>
      </c>
      <c r="I397" s="788">
        <f t="shared" si="22"/>
        <v>0</v>
      </c>
      <c r="J397" s="788"/>
      <c r="K397" s="808"/>
      <c r="L397" s="792"/>
      <c r="M397" s="808"/>
      <c r="N397" s="792"/>
      <c r="O397" s="792"/>
    </row>
    <row r="398" spans="3:15">
      <c r="C398" s="784">
        <f>IF(D363="","-",+C397+1)</f>
        <v>2043</v>
      </c>
      <c r="D398" s="732">
        <f t="shared" si="18"/>
        <v>17876189.722222172</v>
      </c>
      <c r="E398" s="785">
        <f t="shared" si="23"/>
        <v>1650109.8205128205</v>
      </c>
      <c r="F398" s="732">
        <f t="shared" si="19"/>
        <v>16226079.901709352</v>
      </c>
      <c r="G398" s="790">
        <f t="shared" si="20"/>
        <v>3622076.2839241438</v>
      </c>
      <c r="H398" s="791">
        <f t="shared" si="21"/>
        <v>3622076.2839241438</v>
      </c>
      <c r="I398" s="788">
        <f t="shared" si="22"/>
        <v>0</v>
      </c>
      <c r="J398" s="788"/>
      <c r="K398" s="808"/>
      <c r="L398" s="792"/>
      <c r="M398" s="808"/>
      <c r="N398" s="792"/>
      <c r="O398" s="792"/>
    </row>
    <row r="399" spans="3:15">
      <c r="C399" s="784">
        <f>IF(D363="","-",+C398+1)</f>
        <v>2044</v>
      </c>
      <c r="D399" s="732">
        <f t="shared" si="18"/>
        <v>16226079.901709352</v>
      </c>
      <c r="E399" s="785">
        <f t="shared" si="23"/>
        <v>1650109.8205128205</v>
      </c>
      <c r="F399" s="732">
        <f t="shared" si="19"/>
        <v>14575970.081196532</v>
      </c>
      <c r="G399" s="790">
        <f t="shared" si="20"/>
        <v>3431240.8197230473</v>
      </c>
      <c r="H399" s="791">
        <f t="shared" si="21"/>
        <v>3431240.8197230473</v>
      </c>
      <c r="I399" s="788">
        <f t="shared" si="22"/>
        <v>0</v>
      </c>
      <c r="J399" s="788"/>
      <c r="K399" s="808"/>
      <c r="L399" s="792"/>
      <c r="M399" s="808"/>
      <c r="N399" s="792"/>
      <c r="O399" s="792"/>
    </row>
    <row r="400" spans="3:15">
      <c r="C400" s="784">
        <f>IF(D363="","-",+C399+1)</f>
        <v>2045</v>
      </c>
      <c r="D400" s="732">
        <f t="shared" si="18"/>
        <v>14575970.081196532</v>
      </c>
      <c r="E400" s="785">
        <f t="shared" si="23"/>
        <v>1650109.8205128205</v>
      </c>
      <c r="F400" s="732">
        <f t="shared" si="19"/>
        <v>12925860.260683712</v>
      </c>
      <c r="G400" s="790">
        <f t="shared" si="20"/>
        <v>3240405.3555219509</v>
      </c>
      <c r="H400" s="791">
        <f t="shared" si="21"/>
        <v>3240405.3555219509</v>
      </c>
      <c r="I400" s="788">
        <f t="shared" si="22"/>
        <v>0</v>
      </c>
      <c r="J400" s="788"/>
      <c r="K400" s="808"/>
      <c r="L400" s="792"/>
      <c r="M400" s="808"/>
      <c r="N400" s="792"/>
      <c r="O400" s="792"/>
    </row>
    <row r="401" spans="3:15">
      <c r="C401" s="784">
        <f>IF(D363="","-",+C400+1)</f>
        <v>2046</v>
      </c>
      <c r="D401" s="732">
        <f t="shared" si="18"/>
        <v>12925860.260683712</v>
      </c>
      <c r="E401" s="785">
        <f t="shared" si="23"/>
        <v>1650109.8205128205</v>
      </c>
      <c r="F401" s="732">
        <f t="shared" si="19"/>
        <v>11275750.440170892</v>
      </c>
      <c r="G401" s="790">
        <f t="shared" si="20"/>
        <v>3049569.8913208544</v>
      </c>
      <c r="H401" s="791">
        <f t="shared" si="21"/>
        <v>3049569.8913208544</v>
      </c>
      <c r="I401" s="788">
        <f t="shared" si="22"/>
        <v>0</v>
      </c>
      <c r="J401" s="788"/>
      <c r="K401" s="808"/>
      <c r="L401" s="792"/>
      <c r="M401" s="808"/>
      <c r="N401" s="792"/>
      <c r="O401" s="792"/>
    </row>
    <row r="402" spans="3:15">
      <c r="C402" s="784">
        <f>IF(D363="","-",+C401+1)</f>
        <v>2047</v>
      </c>
      <c r="D402" s="732">
        <f t="shared" si="18"/>
        <v>11275750.440170892</v>
      </c>
      <c r="E402" s="785">
        <f t="shared" si="23"/>
        <v>1650109.8205128205</v>
      </c>
      <c r="F402" s="732">
        <f t="shared" si="19"/>
        <v>9625640.6196580715</v>
      </c>
      <c r="G402" s="790">
        <f t="shared" si="20"/>
        <v>2858734.4271197584</v>
      </c>
      <c r="H402" s="791">
        <f t="shared" si="21"/>
        <v>2858734.4271197584</v>
      </c>
      <c r="I402" s="788">
        <f t="shared" si="22"/>
        <v>0</v>
      </c>
      <c r="J402" s="788"/>
      <c r="K402" s="808"/>
      <c r="L402" s="792"/>
      <c r="M402" s="808"/>
      <c r="N402" s="792"/>
      <c r="O402" s="792"/>
    </row>
    <row r="403" spans="3:15">
      <c r="C403" s="784">
        <f>IF(D363="","-",+C402+1)</f>
        <v>2048</v>
      </c>
      <c r="D403" s="732">
        <f t="shared" si="18"/>
        <v>9625640.6196580715</v>
      </c>
      <c r="E403" s="785">
        <f t="shared" si="23"/>
        <v>1650109.8205128205</v>
      </c>
      <c r="F403" s="732">
        <f t="shared" si="19"/>
        <v>7975530.7991452515</v>
      </c>
      <c r="G403" s="790">
        <f t="shared" si="20"/>
        <v>2667898.962918662</v>
      </c>
      <c r="H403" s="791">
        <f t="shared" si="21"/>
        <v>2667898.962918662</v>
      </c>
      <c r="I403" s="788">
        <f t="shared" si="22"/>
        <v>0</v>
      </c>
      <c r="J403" s="788"/>
      <c r="K403" s="808"/>
      <c r="L403" s="792"/>
      <c r="M403" s="808"/>
      <c r="N403" s="792"/>
      <c r="O403" s="792"/>
    </row>
    <row r="404" spans="3:15">
      <c r="C404" s="784">
        <f>IF(D363="","-",+C403+1)</f>
        <v>2049</v>
      </c>
      <c r="D404" s="732">
        <f t="shared" si="18"/>
        <v>7975530.7991452515</v>
      </c>
      <c r="E404" s="785">
        <f t="shared" si="23"/>
        <v>1650109.8205128205</v>
      </c>
      <c r="F404" s="732">
        <f t="shared" si="19"/>
        <v>6325420.9786324315</v>
      </c>
      <c r="G404" s="790">
        <f t="shared" si="20"/>
        <v>2477063.498717566</v>
      </c>
      <c r="H404" s="791">
        <f t="shared" si="21"/>
        <v>2477063.498717566</v>
      </c>
      <c r="I404" s="788">
        <f t="shared" si="22"/>
        <v>0</v>
      </c>
      <c r="J404" s="788"/>
      <c r="K404" s="808"/>
      <c r="L404" s="792"/>
      <c r="M404" s="808"/>
      <c r="N404" s="792"/>
      <c r="O404" s="792"/>
    </row>
    <row r="405" spans="3:15">
      <c r="C405" s="784">
        <f>IF(D363="","-",+C404+1)</f>
        <v>2050</v>
      </c>
      <c r="D405" s="732">
        <f t="shared" si="18"/>
        <v>6325420.9786324315</v>
      </c>
      <c r="E405" s="785">
        <f t="shared" si="23"/>
        <v>1650109.8205128205</v>
      </c>
      <c r="F405" s="732">
        <f t="shared" si="19"/>
        <v>4675311.1581196114</v>
      </c>
      <c r="G405" s="790">
        <f t="shared" si="20"/>
        <v>2286228.0345164696</v>
      </c>
      <c r="H405" s="791">
        <f t="shared" si="21"/>
        <v>2286228.0345164696</v>
      </c>
      <c r="I405" s="788">
        <f t="shared" si="22"/>
        <v>0</v>
      </c>
      <c r="J405" s="788"/>
      <c r="K405" s="808"/>
      <c r="L405" s="792"/>
      <c r="M405" s="808"/>
      <c r="N405" s="792"/>
      <c r="O405" s="792"/>
    </row>
    <row r="406" spans="3:15">
      <c r="C406" s="784">
        <f>IF(D363="","-",+C405+1)</f>
        <v>2051</v>
      </c>
      <c r="D406" s="732">
        <f t="shared" si="18"/>
        <v>4675311.1581196114</v>
      </c>
      <c r="E406" s="785">
        <f t="shared" si="23"/>
        <v>1650109.8205128205</v>
      </c>
      <c r="F406" s="732">
        <f t="shared" si="19"/>
        <v>3025201.3376067909</v>
      </c>
      <c r="G406" s="790">
        <f t="shared" si="20"/>
        <v>2095392.5703153731</v>
      </c>
      <c r="H406" s="791">
        <f t="shared" si="21"/>
        <v>2095392.5703153731</v>
      </c>
      <c r="I406" s="788">
        <f t="shared" si="22"/>
        <v>0</v>
      </c>
      <c r="J406" s="788"/>
      <c r="K406" s="808"/>
      <c r="L406" s="792"/>
      <c r="M406" s="808"/>
      <c r="N406" s="792"/>
      <c r="O406" s="792"/>
    </row>
    <row r="407" spans="3:15">
      <c r="C407" s="784">
        <f>IF(D363="","-",+C406+1)</f>
        <v>2052</v>
      </c>
      <c r="D407" s="732">
        <f t="shared" si="18"/>
        <v>3025201.3376067909</v>
      </c>
      <c r="E407" s="785">
        <f t="shared" si="23"/>
        <v>1650109.8205128205</v>
      </c>
      <c r="F407" s="732">
        <f t="shared" si="19"/>
        <v>1375091.5170939704</v>
      </c>
      <c r="G407" s="790">
        <f t="shared" si="20"/>
        <v>1904557.1061142769</v>
      </c>
      <c r="H407" s="791">
        <f t="shared" si="21"/>
        <v>1904557.1061142769</v>
      </c>
      <c r="I407" s="788">
        <f t="shared" si="22"/>
        <v>0</v>
      </c>
      <c r="J407" s="788"/>
      <c r="K407" s="808"/>
      <c r="L407" s="792"/>
      <c r="M407" s="808"/>
      <c r="N407" s="792"/>
      <c r="O407" s="792"/>
    </row>
    <row r="408" spans="3:15">
      <c r="C408" s="784">
        <f>IF(D363="","-",+C407+1)</f>
        <v>2053</v>
      </c>
      <c r="D408" s="732">
        <f t="shared" si="18"/>
        <v>1375091.5170939704</v>
      </c>
      <c r="E408" s="785">
        <f t="shared" si="23"/>
        <v>1375091.5170939704</v>
      </c>
      <c r="F408" s="732">
        <f t="shared" si="19"/>
        <v>0</v>
      </c>
      <c r="G408" s="790">
        <f t="shared" si="20"/>
        <v>1454606.2938444247</v>
      </c>
      <c r="H408" s="791">
        <f t="shared" si="21"/>
        <v>1454606.2938444247</v>
      </c>
      <c r="I408" s="788">
        <f t="shared" si="22"/>
        <v>0</v>
      </c>
      <c r="J408" s="788"/>
      <c r="K408" s="808"/>
      <c r="L408" s="792"/>
      <c r="M408" s="808"/>
      <c r="N408" s="792"/>
      <c r="O408" s="792"/>
    </row>
    <row r="409" spans="3:15">
      <c r="C409" s="784">
        <f>IF(D363="","-",+C408+1)</f>
        <v>2054</v>
      </c>
      <c r="D409" s="732">
        <f t="shared" si="18"/>
        <v>0</v>
      </c>
      <c r="E409" s="785">
        <f t="shared" si="23"/>
        <v>0</v>
      </c>
      <c r="F409" s="732">
        <f t="shared" si="19"/>
        <v>0</v>
      </c>
      <c r="G409" s="790">
        <f t="shared" si="20"/>
        <v>0</v>
      </c>
      <c r="H409" s="791">
        <f t="shared" si="21"/>
        <v>0</v>
      </c>
      <c r="I409" s="788">
        <f t="shared" si="22"/>
        <v>0</v>
      </c>
      <c r="J409" s="788"/>
      <c r="K409" s="808"/>
      <c r="L409" s="792"/>
      <c r="M409" s="808"/>
      <c r="N409" s="792"/>
      <c r="O409" s="792"/>
    </row>
    <row r="410" spans="3:15">
      <c r="C410" s="784">
        <f>IF(D363="","-",+C409+1)</f>
        <v>2055</v>
      </c>
      <c r="D410" s="732">
        <f t="shared" si="18"/>
        <v>0</v>
      </c>
      <c r="E410" s="785">
        <f t="shared" si="23"/>
        <v>0</v>
      </c>
      <c r="F410" s="732">
        <f t="shared" si="19"/>
        <v>0</v>
      </c>
      <c r="G410" s="790">
        <f t="shared" si="20"/>
        <v>0</v>
      </c>
      <c r="H410" s="791">
        <f t="shared" si="21"/>
        <v>0</v>
      </c>
      <c r="I410" s="788">
        <f t="shared" si="22"/>
        <v>0</v>
      </c>
      <c r="J410" s="788"/>
      <c r="K410" s="808"/>
      <c r="L410" s="792"/>
      <c r="M410" s="808"/>
      <c r="N410" s="792"/>
      <c r="O410" s="792"/>
    </row>
    <row r="411" spans="3:15">
      <c r="C411" s="784">
        <f>IF(D363="","-",+C410+1)</f>
        <v>2056</v>
      </c>
      <c r="D411" s="732">
        <f t="shared" si="18"/>
        <v>0</v>
      </c>
      <c r="E411" s="785">
        <f t="shared" si="23"/>
        <v>0</v>
      </c>
      <c r="F411" s="732">
        <f t="shared" si="19"/>
        <v>0</v>
      </c>
      <c r="G411" s="790">
        <f t="shared" si="20"/>
        <v>0</v>
      </c>
      <c r="H411" s="791">
        <f t="shared" si="21"/>
        <v>0</v>
      </c>
      <c r="I411" s="788">
        <f t="shared" si="22"/>
        <v>0</v>
      </c>
      <c r="J411" s="788"/>
      <c r="K411" s="808"/>
      <c r="L411" s="792"/>
      <c r="M411" s="808"/>
      <c r="N411" s="792"/>
      <c r="O411" s="792"/>
    </row>
    <row r="412" spans="3:15">
      <c r="C412" s="784">
        <f>IF(D363="","-",+C411+1)</f>
        <v>2057</v>
      </c>
      <c r="D412" s="732">
        <f t="shared" si="18"/>
        <v>0</v>
      </c>
      <c r="E412" s="785">
        <f t="shared" si="23"/>
        <v>0</v>
      </c>
      <c r="F412" s="732">
        <f t="shared" si="19"/>
        <v>0</v>
      </c>
      <c r="G412" s="790">
        <f t="shared" si="20"/>
        <v>0</v>
      </c>
      <c r="H412" s="791">
        <f t="shared" si="21"/>
        <v>0</v>
      </c>
      <c r="I412" s="788">
        <f t="shared" si="22"/>
        <v>0</v>
      </c>
      <c r="J412" s="788"/>
      <c r="K412" s="808"/>
      <c r="L412" s="792"/>
      <c r="M412" s="808"/>
      <c r="N412" s="792"/>
      <c r="O412" s="792"/>
    </row>
    <row r="413" spans="3:15">
      <c r="C413" s="784">
        <f>IF(D363="","-",+C412+1)</f>
        <v>2058</v>
      </c>
      <c r="D413" s="732">
        <f t="shared" si="18"/>
        <v>0</v>
      </c>
      <c r="E413" s="785">
        <f t="shared" si="23"/>
        <v>0</v>
      </c>
      <c r="F413" s="732">
        <f t="shared" si="19"/>
        <v>0</v>
      </c>
      <c r="G413" s="790">
        <f t="shared" si="20"/>
        <v>0</v>
      </c>
      <c r="H413" s="791">
        <f t="shared" si="21"/>
        <v>0</v>
      </c>
      <c r="I413" s="788">
        <f t="shared" si="22"/>
        <v>0</v>
      </c>
      <c r="J413" s="788"/>
      <c r="K413" s="808"/>
      <c r="L413" s="792"/>
      <c r="M413" s="808"/>
      <c r="N413" s="792"/>
      <c r="O413" s="792"/>
    </row>
    <row r="414" spans="3:15">
      <c r="C414" s="784">
        <f>IF(D363="","-",+C413+1)</f>
        <v>2059</v>
      </c>
      <c r="D414" s="732">
        <f t="shared" si="18"/>
        <v>0</v>
      </c>
      <c r="E414" s="785">
        <f t="shared" si="23"/>
        <v>0</v>
      </c>
      <c r="F414" s="732">
        <f t="shared" si="19"/>
        <v>0</v>
      </c>
      <c r="G414" s="790">
        <f t="shared" si="20"/>
        <v>0</v>
      </c>
      <c r="H414" s="791">
        <f t="shared" si="21"/>
        <v>0</v>
      </c>
      <c r="I414" s="788">
        <f t="shared" si="22"/>
        <v>0</v>
      </c>
      <c r="J414" s="788"/>
      <c r="K414" s="808"/>
      <c r="L414" s="792"/>
      <c r="M414" s="808"/>
      <c r="N414" s="792"/>
      <c r="O414" s="792"/>
    </row>
    <row r="415" spans="3:15">
      <c r="C415" s="784">
        <f>IF(D363="","-",+C414+1)</f>
        <v>2060</v>
      </c>
      <c r="D415" s="732">
        <f t="shared" si="18"/>
        <v>0</v>
      </c>
      <c r="E415" s="785">
        <f t="shared" si="23"/>
        <v>0</v>
      </c>
      <c r="F415" s="732">
        <f t="shared" si="19"/>
        <v>0</v>
      </c>
      <c r="G415" s="790">
        <f t="shared" si="20"/>
        <v>0</v>
      </c>
      <c r="H415" s="791">
        <f t="shared" si="21"/>
        <v>0</v>
      </c>
      <c r="I415" s="788">
        <f t="shared" si="22"/>
        <v>0</v>
      </c>
      <c r="J415" s="788"/>
      <c r="K415" s="808"/>
      <c r="L415" s="792"/>
      <c r="M415" s="808"/>
      <c r="N415" s="792"/>
      <c r="O415" s="792"/>
    </row>
    <row r="416" spans="3:15">
      <c r="C416" s="784">
        <f>IF(D363="","-",+C415+1)</f>
        <v>2061</v>
      </c>
      <c r="D416" s="732">
        <f t="shared" si="18"/>
        <v>0</v>
      </c>
      <c r="E416" s="785">
        <f t="shared" si="23"/>
        <v>0</v>
      </c>
      <c r="F416" s="732">
        <f t="shared" si="19"/>
        <v>0</v>
      </c>
      <c r="G416" s="790">
        <f t="shared" si="20"/>
        <v>0</v>
      </c>
      <c r="H416" s="791">
        <f t="shared" si="21"/>
        <v>0</v>
      </c>
      <c r="I416" s="788">
        <f t="shared" si="22"/>
        <v>0</v>
      </c>
      <c r="J416" s="788"/>
      <c r="K416" s="808"/>
      <c r="L416" s="792"/>
      <c r="M416" s="808"/>
      <c r="N416" s="792"/>
      <c r="O416" s="792"/>
    </row>
    <row r="417" spans="3:15">
      <c r="C417" s="784">
        <f>IF(D363="","-",+C416+1)</f>
        <v>2062</v>
      </c>
      <c r="D417" s="732">
        <f t="shared" si="18"/>
        <v>0</v>
      </c>
      <c r="E417" s="785">
        <f t="shared" si="23"/>
        <v>0</v>
      </c>
      <c r="F417" s="732">
        <f t="shared" si="19"/>
        <v>0</v>
      </c>
      <c r="G417" s="790">
        <f t="shared" si="20"/>
        <v>0</v>
      </c>
      <c r="H417" s="791">
        <f t="shared" si="21"/>
        <v>0</v>
      </c>
      <c r="I417" s="788">
        <f t="shared" si="22"/>
        <v>0</v>
      </c>
      <c r="J417" s="788"/>
      <c r="K417" s="808"/>
      <c r="L417" s="792"/>
      <c r="M417" s="808"/>
      <c r="N417" s="792"/>
      <c r="O417" s="792"/>
    </row>
    <row r="418" spans="3:15">
      <c r="C418" s="784">
        <f>IF(D363="","-",+C417+1)</f>
        <v>2063</v>
      </c>
      <c r="D418" s="732">
        <f t="shared" si="18"/>
        <v>0</v>
      </c>
      <c r="E418" s="785">
        <f t="shared" si="23"/>
        <v>0</v>
      </c>
      <c r="F418" s="732">
        <f t="shared" si="19"/>
        <v>0</v>
      </c>
      <c r="G418" s="790">
        <f t="shared" si="20"/>
        <v>0</v>
      </c>
      <c r="H418" s="791">
        <f t="shared" si="21"/>
        <v>0</v>
      </c>
      <c r="I418" s="788">
        <f t="shared" si="22"/>
        <v>0</v>
      </c>
      <c r="J418" s="788"/>
      <c r="K418" s="808"/>
      <c r="L418" s="792"/>
      <c r="M418" s="808"/>
      <c r="N418" s="792"/>
      <c r="O418" s="792"/>
    </row>
    <row r="419" spans="3:15">
      <c r="C419" s="784">
        <f>IF(D363="","-",+C418+1)</f>
        <v>2064</v>
      </c>
      <c r="D419" s="732">
        <f t="shared" si="18"/>
        <v>0</v>
      </c>
      <c r="E419" s="785">
        <f t="shared" si="23"/>
        <v>0</v>
      </c>
      <c r="F419" s="732">
        <f t="shared" si="19"/>
        <v>0</v>
      </c>
      <c r="G419" s="790">
        <f t="shared" si="20"/>
        <v>0</v>
      </c>
      <c r="H419" s="791">
        <f t="shared" si="21"/>
        <v>0</v>
      </c>
      <c r="I419" s="788">
        <f t="shared" si="22"/>
        <v>0</v>
      </c>
      <c r="J419" s="788"/>
      <c r="K419" s="808"/>
      <c r="L419" s="792"/>
      <c r="M419" s="808"/>
      <c r="N419" s="792"/>
      <c r="O419" s="792"/>
    </row>
    <row r="420" spans="3:15">
      <c r="C420" s="784">
        <f>IF(D363="","-",+C419+1)</f>
        <v>2065</v>
      </c>
      <c r="D420" s="732">
        <f t="shared" si="18"/>
        <v>0</v>
      </c>
      <c r="E420" s="785">
        <f t="shared" si="23"/>
        <v>0</v>
      </c>
      <c r="F420" s="732">
        <f t="shared" si="19"/>
        <v>0</v>
      </c>
      <c r="G420" s="790">
        <f t="shared" si="20"/>
        <v>0</v>
      </c>
      <c r="H420" s="791">
        <f t="shared" si="21"/>
        <v>0</v>
      </c>
      <c r="I420" s="788">
        <f t="shared" si="22"/>
        <v>0</v>
      </c>
      <c r="J420" s="788"/>
      <c r="K420" s="808"/>
      <c r="L420" s="792"/>
      <c r="M420" s="808"/>
      <c r="N420" s="792"/>
      <c r="O420" s="792"/>
    </row>
    <row r="421" spans="3:15">
      <c r="C421" s="784">
        <f>IF(D363="","-",+C420+1)</f>
        <v>2066</v>
      </c>
      <c r="D421" s="732">
        <f t="shared" si="18"/>
        <v>0</v>
      </c>
      <c r="E421" s="785">
        <f t="shared" si="23"/>
        <v>0</v>
      </c>
      <c r="F421" s="732">
        <f t="shared" si="19"/>
        <v>0</v>
      </c>
      <c r="G421" s="790">
        <f t="shared" si="20"/>
        <v>0</v>
      </c>
      <c r="H421" s="791">
        <f t="shared" si="21"/>
        <v>0</v>
      </c>
      <c r="I421" s="788">
        <f t="shared" si="22"/>
        <v>0</v>
      </c>
      <c r="J421" s="788"/>
      <c r="K421" s="808"/>
      <c r="L421" s="792"/>
      <c r="M421" s="808"/>
      <c r="N421" s="792"/>
      <c r="O421" s="792"/>
    </row>
    <row r="422" spans="3:15">
      <c r="C422" s="784">
        <f>IF(D363="","-",+C421+1)</f>
        <v>2067</v>
      </c>
      <c r="D422" s="732">
        <f t="shared" si="18"/>
        <v>0</v>
      </c>
      <c r="E422" s="785">
        <f t="shared" si="23"/>
        <v>0</v>
      </c>
      <c r="F422" s="732">
        <f t="shared" si="19"/>
        <v>0</v>
      </c>
      <c r="G422" s="790">
        <f t="shared" si="20"/>
        <v>0</v>
      </c>
      <c r="H422" s="791">
        <f t="shared" si="21"/>
        <v>0</v>
      </c>
      <c r="I422" s="788">
        <f t="shared" si="22"/>
        <v>0</v>
      </c>
      <c r="J422" s="788"/>
      <c r="K422" s="808"/>
      <c r="L422" s="792"/>
      <c r="M422" s="808"/>
      <c r="N422" s="792"/>
      <c r="O422" s="792"/>
    </row>
    <row r="423" spans="3:15">
      <c r="C423" s="784">
        <f>IF(D363="","-",+C422+1)</f>
        <v>2068</v>
      </c>
      <c r="D423" s="732">
        <f t="shared" si="18"/>
        <v>0</v>
      </c>
      <c r="E423" s="785">
        <f t="shared" si="23"/>
        <v>0</v>
      </c>
      <c r="F423" s="732">
        <f t="shared" si="19"/>
        <v>0</v>
      </c>
      <c r="G423" s="790">
        <f t="shared" si="20"/>
        <v>0</v>
      </c>
      <c r="H423" s="791">
        <f t="shared" si="21"/>
        <v>0</v>
      </c>
      <c r="I423" s="788">
        <f t="shared" si="22"/>
        <v>0</v>
      </c>
      <c r="J423" s="788"/>
      <c r="K423" s="808"/>
      <c r="L423" s="792"/>
      <c r="M423" s="808"/>
      <c r="N423" s="792"/>
      <c r="O423" s="792"/>
    </row>
    <row r="424" spans="3:15">
      <c r="C424" s="784">
        <f>IF(D363="","-",+C423+1)</f>
        <v>2069</v>
      </c>
      <c r="D424" s="732">
        <f t="shared" si="18"/>
        <v>0</v>
      </c>
      <c r="E424" s="785">
        <f t="shared" si="23"/>
        <v>0</v>
      </c>
      <c r="F424" s="732">
        <f t="shared" si="19"/>
        <v>0</v>
      </c>
      <c r="G424" s="790">
        <f t="shared" si="20"/>
        <v>0</v>
      </c>
      <c r="H424" s="791">
        <f t="shared" si="21"/>
        <v>0</v>
      </c>
      <c r="I424" s="788">
        <f t="shared" si="22"/>
        <v>0</v>
      </c>
      <c r="J424" s="788"/>
      <c r="K424" s="808"/>
      <c r="L424" s="792"/>
      <c r="M424" s="808"/>
      <c r="N424" s="792"/>
      <c r="O424" s="792"/>
    </row>
    <row r="425" spans="3:15">
      <c r="C425" s="784">
        <f>IF(D363="","-",+C424+1)</f>
        <v>2070</v>
      </c>
      <c r="D425" s="732">
        <f t="shared" si="18"/>
        <v>0</v>
      </c>
      <c r="E425" s="785">
        <f t="shared" si="23"/>
        <v>0</v>
      </c>
      <c r="F425" s="732">
        <f t="shared" si="19"/>
        <v>0</v>
      </c>
      <c r="G425" s="790">
        <f t="shared" si="20"/>
        <v>0</v>
      </c>
      <c r="H425" s="791">
        <f t="shared" si="21"/>
        <v>0</v>
      </c>
      <c r="I425" s="788">
        <f t="shared" si="22"/>
        <v>0</v>
      </c>
      <c r="J425" s="788"/>
      <c r="K425" s="808"/>
      <c r="L425" s="792"/>
      <c r="M425" s="808"/>
      <c r="N425" s="792"/>
      <c r="O425" s="792"/>
    </row>
    <row r="426" spans="3:15">
      <c r="C426" s="784">
        <f>IF(D363="","-",+C425+1)</f>
        <v>2071</v>
      </c>
      <c r="D426" s="732">
        <f t="shared" si="18"/>
        <v>0</v>
      </c>
      <c r="E426" s="785">
        <f t="shared" si="23"/>
        <v>0</v>
      </c>
      <c r="F426" s="732">
        <f t="shared" si="19"/>
        <v>0</v>
      </c>
      <c r="G426" s="790">
        <f t="shared" si="20"/>
        <v>0</v>
      </c>
      <c r="H426" s="791">
        <f t="shared" si="21"/>
        <v>0</v>
      </c>
      <c r="I426" s="788">
        <f t="shared" si="22"/>
        <v>0</v>
      </c>
      <c r="J426" s="788"/>
      <c r="K426" s="808"/>
      <c r="L426" s="792"/>
      <c r="M426" s="808"/>
      <c r="N426" s="792"/>
      <c r="O426" s="792"/>
    </row>
    <row r="427" spans="3:15">
      <c r="C427" s="784">
        <f>IF(D363="","-",+C426+1)</f>
        <v>2072</v>
      </c>
      <c r="D427" s="732">
        <f t="shared" si="18"/>
        <v>0</v>
      </c>
      <c r="E427" s="785">
        <f t="shared" si="23"/>
        <v>0</v>
      </c>
      <c r="F427" s="732">
        <f t="shared" si="19"/>
        <v>0</v>
      </c>
      <c r="G427" s="790">
        <f t="shared" si="20"/>
        <v>0</v>
      </c>
      <c r="H427" s="791">
        <f t="shared" si="21"/>
        <v>0</v>
      </c>
      <c r="I427" s="788">
        <f t="shared" si="22"/>
        <v>0</v>
      </c>
      <c r="J427" s="788"/>
      <c r="K427" s="808"/>
      <c r="L427" s="792"/>
      <c r="M427" s="808"/>
      <c r="N427" s="792"/>
      <c r="O427" s="792"/>
    </row>
    <row r="428" spans="3:15" ht="13.5" thickBot="1">
      <c r="C428" s="794">
        <f>IF(D363="","-",+C427+1)</f>
        <v>2073</v>
      </c>
      <c r="D428" s="795">
        <f t="shared" si="18"/>
        <v>0</v>
      </c>
      <c r="E428" s="796">
        <f t="shared" si="23"/>
        <v>0</v>
      </c>
      <c r="F428" s="795">
        <f t="shared" si="19"/>
        <v>0</v>
      </c>
      <c r="G428" s="797">
        <f t="shared" si="20"/>
        <v>0</v>
      </c>
      <c r="H428" s="797">
        <f t="shared" si="21"/>
        <v>0</v>
      </c>
      <c r="I428" s="798">
        <f t="shared" si="22"/>
        <v>0</v>
      </c>
      <c r="J428" s="788"/>
      <c r="K428" s="809"/>
      <c r="L428" s="799"/>
      <c r="M428" s="809"/>
      <c r="N428" s="799"/>
      <c r="O428" s="799"/>
    </row>
    <row r="429" spans="3:15">
      <c r="C429" s="732" t="s">
        <v>93</v>
      </c>
      <c r="D429" s="726"/>
      <c r="E429" s="726">
        <f>SUM(E369:E428)</f>
        <v>64354283.000000007</v>
      </c>
      <c r="F429" s="726"/>
      <c r="G429" s="726">
        <f>SUM(G369:G428)</f>
        <v>215686806.11146918</v>
      </c>
      <c r="H429" s="726">
        <f>SUM(H369:H428)</f>
        <v>215686806.11146918</v>
      </c>
      <c r="I429" s="726">
        <f>SUM(I369:I428)</f>
        <v>0</v>
      </c>
      <c r="J429" s="726"/>
      <c r="K429" s="726"/>
      <c r="L429" s="726"/>
      <c r="M429" s="726"/>
      <c r="N429" s="726"/>
      <c r="O429" s="313"/>
    </row>
    <row r="430" spans="3:15">
      <c r="D430" s="534"/>
      <c r="E430" s="313"/>
      <c r="F430" s="313"/>
      <c r="G430" s="313"/>
      <c r="H430" s="704"/>
      <c r="I430" s="704"/>
      <c r="J430" s="726"/>
      <c r="K430" s="704"/>
      <c r="L430" s="704"/>
      <c r="M430" s="704"/>
      <c r="N430" s="704"/>
      <c r="O430" s="313"/>
    </row>
    <row r="431" spans="3:15">
      <c r="C431" s="313" t="s">
        <v>15</v>
      </c>
      <c r="D431" s="534"/>
      <c r="E431" s="313"/>
      <c r="F431" s="313"/>
      <c r="G431" s="313"/>
      <c r="H431" s="704"/>
      <c r="I431" s="704"/>
      <c r="J431" s="726"/>
      <c r="K431" s="704"/>
      <c r="L431" s="704"/>
      <c r="M431" s="704"/>
      <c r="N431" s="704"/>
      <c r="O431" s="313"/>
    </row>
    <row r="432" spans="3:15">
      <c r="C432" s="313"/>
      <c r="D432" s="534"/>
      <c r="E432" s="313"/>
      <c r="F432" s="313"/>
      <c r="G432" s="313"/>
      <c r="H432" s="704"/>
      <c r="I432" s="704"/>
      <c r="J432" s="726"/>
      <c r="K432" s="704"/>
      <c r="L432" s="704"/>
      <c r="M432" s="704"/>
      <c r="N432" s="704"/>
      <c r="O432" s="313"/>
    </row>
    <row r="433" spans="1:16">
      <c r="C433" s="745" t="s">
        <v>16</v>
      </c>
      <c r="D433" s="732"/>
      <c r="E433" s="732"/>
      <c r="F433" s="732"/>
      <c r="G433" s="726"/>
      <c r="H433" s="726"/>
      <c r="I433" s="800"/>
      <c r="J433" s="800"/>
      <c r="K433" s="800"/>
      <c r="L433" s="800"/>
      <c r="M433" s="800"/>
      <c r="N433" s="800"/>
      <c r="O433" s="313"/>
    </row>
    <row r="434" spans="1:16">
      <c r="C434" s="731" t="s">
        <v>273</v>
      </c>
      <c r="D434" s="732"/>
      <c r="E434" s="732"/>
      <c r="F434" s="732"/>
      <c r="G434" s="726"/>
      <c r="H434" s="726"/>
      <c r="I434" s="800"/>
      <c r="J434" s="800"/>
      <c r="K434" s="800"/>
      <c r="L434" s="800"/>
      <c r="M434" s="800"/>
      <c r="N434" s="800"/>
      <c r="O434" s="313"/>
    </row>
    <row r="435" spans="1:16">
      <c r="C435" s="731" t="s">
        <v>94</v>
      </c>
      <c r="D435" s="732"/>
      <c r="E435" s="732"/>
      <c r="F435" s="732"/>
      <c r="G435" s="726"/>
      <c r="H435" s="726"/>
      <c r="I435" s="800"/>
      <c r="J435" s="800"/>
      <c r="K435" s="800"/>
      <c r="L435" s="800"/>
      <c r="M435" s="800"/>
      <c r="N435" s="800"/>
      <c r="O435" s="313"/>
    </row>
    <row r="436" spans="1:16">
      <c r="C436" s="731"/>
      <c r="D436" s="732"/>
      <c r="E436" s="732"/>
      <c r="F436" s="732"/>
      <c r="G436" s="726"/>
      <c r="H436" s="726"/>
      <c r="I436" s="800"/>
      <c r="J436" s="800"/>
      <c r="K436" s="800"/>
      <c r="L436" s="800"/>
      <c r="M436" s="800"/>
      <c r="N436" s="800"/>
      <c r="O436" s="313"/>
    </row>
    <row r="437" spans="1:16">
      <c r="C437" s="1556" t="s">
        <v>8</v>
      </c>
      <c r="D437" s="1556"/>
      <c r="E437" s="1556"/>
      <c r="F437" s="1556"/>
      <c r="G437" s="1556"/>
      <c r="H437" s="1556"/>
      <c r="I437" s="1556"/>
      <c r="J437" s="1556"/>
      <c r="K437" s="1556"/>
      <c r="L437" s="1556"/>
      <c r="M437" s="1556"/>
      <c r="N437" s="1556"/>
      <c r="O437" s="1556"/>
    </row>
    <row r="438" spans="1:16">
      <c r="C438" s="1556"/>
      <c r="D438" s="1556"/>
      <c r="E438" s="1556"/>
      <c r="F438" s="1556"/>
      <c r="G438" s="1556"/>
      <c r="H438" s="1556"/>
      <c r="I438" s="1556"/>
      <c r="J438" s="1556"/>
      <c r="K438" s="1556"/>
      <c r="L438" s="1556"/>
      <c r="M438" s="1556"/>
      <c r="N438" s="1556"/>
      <c r="O438" s="1556"/>
    </row>
    <row r="439" spans="1:16">
      <c r="B439" s="346"/>
      <c r="C439" s="313"/>
      <c r="D439" s="534"/>
      <c r="E439" s="313"/>
      <c r="F439" s="313"/>
      <c r="G439" s="313"/>
      <c r="H439" s="704"/>
      <c r="I439" s="313"/>
      <c r="J439" s="423"/>
      <c r="K439" s="313"/>
      <c r="L439" s="313"/>
      <c r="M439" s="313"/>
      <c r="N439" s="313"/>
      <c r="O439" s="313"/>
    </row>
    <row r="440" spans="1:16" ht="20.25">
      <c r="A440" s="733" t="str">
        <f>""&amp;A364&amp;" Worksheet J -  ATRR PROJECTED Calculation for PJM Projects Charged to Benefiting Zones"</f>
        <v xml:space="preserve"> Worksheet J -  ATRR PROJECTED Calculation for PJM Projects Charged to Benefiting Zones</v>
      </c>
      <c r="B440" s="346"/>
      <c r="C440" s="721"/>
      <c r="D440" s="534"/>
      <c r="E440" s="313"/>
      <c r="F440" s="703"/>
      <c r="G440" s="313"/>
      <c r="H440" s="704"/>
      <c r="K440" s="560"/>
      <c r="L440" s="560"/>
      <c r="M440" s="560"/>
      <c r="N440" s="649" t="str">
        <f>"Page "&amp;SUM(P$8:P440)&amp;" of "</f>
        <v xml:space="preserve">Page 6 of </v>
      </c>
      <c r="O440" s="650">
        <f>COUNT(P$8:P$56656)</f>
        <v>11</v>
      </c>
      <c r="P440" s="173">
        <v>1</v>
      </c>
    </row>
    <row r="441" spans="1:16" ht="20.25">
      <c r="A441" s="733"/>
      <c r="B441" s="346"/>
      <c r="C441" s="721"/>
      <c r="D441" s="534"/>
      <c r="E441" s="313"/>
      <c r="F441" s="703"/>
      <c r="G441" s="313"/>
      <c r="H441" s="704"/>
      <c r="K441" s="560"/>
      <c r="L441" s="560"/>
      <c r="M441" s="560"/>
      <c r="N441" s="649"/>
      <c r="O441" s="650"/>
    </row>
    <row r="442" spans="1:16" ht="18">
      <c r="B442" s="653" t="s">
        <v>474</v>
      </c>
      <c r="C442" s="735" t="s">
        <v>95</v>
      </c>
      <c r="D442" s="534"/>
      <c r="E442" s="313"/>
      <c r="F442" s="313"/>
      <c r="G442" s="313"/>
      <c r="H442" s="704"/>
      <c r="I442" s="704"/>
      <c r="J442" s="726"/>
      <c r="K442" s="704"/>
      <c r="L442" s="704"/>
      <c r="M442" s="704"/>
      <c r="N442" s="704"/>
      <c r="O442" s="313"/>
    </row>
    <row r="443" spans="1:16" ht="18.75">
      <c r="B443" s="653"/>
      <c r="C443" s="652"/>
      <c r="D443" s="534"/>
      <c r="E443" s="313"/>
      <c r="F443" s="313"/>
      <c r="G443" s="313"/>
      <c r="H443" s="704"/>
      <c r="I443" s="704"/>
      <c r="J443" s="726"/>
      <c r="K443" s="704"/>
      <c r="L443" s="704"/>
      <c r="M443" s="704"/>
      <c r="N443" s="704"/>
      <c r="O443" s="313"/>
    </row>
    <row r="444" spans="1:16" ht="18.75">
      <c r="B444" s="653"/>
      <c r="C444" s="652" t="s">
        <v>96</v>
      </c>
      <c r="D444" s="534"/>
      <c r="E444" s="313"/>
      <c r="F444" s="313"/>
      <c r="G444" s="313"/>
      <c r="H444" s="704"/>
      <c r="I444" s="704"/>
      <c r="J444" s="726"/>
      <c r="K444" s="704"/>
      <c r="L444" s="704"/>
      <c r="M444" s="704"/>
      <c r="N444" s="704"/>
      <c r="O444" s="313"/>
    </row>
    <row r="445" spans="1:16" ht="15.75" thickBot="1">
      <c r="C445" s="240"/>
      <c r="D445" s="534"/>
      <c r="E445" s="313"/>
      <c r="F445" s="313"/>
      <c r="G445" s="313"/>
      <c r="H445" s="704"/>
      <c r="I445" s="704"/>
      <c r="J445" s="726"/>
      <c r="K445" s="704"/>
      <c r="L445" s="704"/>
      <c r="M445" s="704"/>
      <c r="N445" s="704"/>
      <c r="O445" s="313"/>
    </row>
    <row r="446" spans="1:16" ht="15.75">
      <c r="C446" s="655" t="s">
        <v>97</v>
      </c>
      <c r="D446" s="534"/>
      <c r="E446" s="313"/>
      <c r="F446" s="313"/>
      <c r="G446" s="802"/>
      <c r="H446" s="313" t="s">
        <v>76</v>
      </c>
      <c r="I446" s="313"/>
      <c r="J446" s="423"/>
      <c r="K446" s="736" t="s">
        <v>101</v>
      </c>
      <c r="L446" s="737"/>
      <c r="M446" s="738"/>
      <c r="N446" s="739">
        <f>IF(I452=0,0,VLOOKUP(I452,C459:O518,5))</f>
        <v>12536816.605562387</v>
      </c>
      <c r="O446" s="313"/>
    </row>
    <row r="447" spans="1:16" ht="15.75">
      <c r="C447" s="655"/>
      <c r="D447" s="534"/>
      <c r="E447" s="313"/>
      <c r="F447" s="313"/>
      <c r="G447" s="313"/>
      <c r="H447" s="740"/>
      <c r="I447" s="740"/>
      <c r="J447" s="741"/>
      <c r="K447" s="742" t="s">
        <v>102</v>
      </c>
      <c r="L447" s="743"/>
      <c r="M447" s="423"/>
      <c r="N447" s="744">
        <f>IF(I452=0,0,VLOOKUP(I452,C459:O518,6))</f>
        <v>12536816.605562387</v>
      </c>
      <c r="O447" s="313"/>
    </row>
    <row r="448" spans="1:16" ht="13.5" thickBot="1">
      <c r="C448" s="745" t="s">
        <v>98</v>
      </c>
      <c r="D448" s="1557" t="s">
        <v>821</v>
      </c>
      <c r="E448" s="1557"/>
      <c r="F448" s="1557"/>
      <c r="G448" s="1557"/>
      <c r="H448" s="1557"/>
      <c r="I448" s="1557"/>
      <c r="J448" s="726"/>
      <c r="K448" s="746" t="s">
        <v>240</v>
      </c>
      <c r="L448" s="747"/>
      <c r="M448" s="747"/>
      <c r="N448" s="748">
        <f>+N447-N446</f>
        <v>0</v>
      </c>
      <c r="O448" s="313"/>
    </row>
    <row r="449" spans="2:15">
      <c r="C449" s="749"/>
      <c r="D449" s="1557"/>
      <c r="E449" s="1557"/>
      <c r="F449" s="1557"/>
      <c r="G449" s="1557"/>
      <c r="H449" s="1557"/>
      <c r="I449" s="1557"/>
      <c r="J449" s="726"/>
      <c r="K449" s="704"/>
      <c r="L449" s="704"/>
      <c r="M449" s="704"/>
      <c r="N449" s="704"/>
      <c r="O449" s="313"/>
    </row>
    <row r="450" spans="2:15" ht="13.5" thickBot="1">
      <c r="C450" s="752"/>
      <c r="D450" s="753"/>
      <c r="E450" s="751"/>
      <c r="F450" s="751"/>
      <c r="G450" s="751"/>
      <c r="H450" s="751"/>
      <c r="I450" s="751"/>
      <c r="J450" s="754"/>
      <c r="K450" s="751"/>
      <c r="L450" s="751"/>
      <c r="M450" s="751"/>
      <c r="N450" s="751"/>
      <c r="O450" s="346"/>
    </row>
    <row r="451" spans="2:15" ht="13.5" thickBot="1">
      <c r="C451" s="755" t="s">
        <v>99</v>
      </c>
      <c r="D451" s="756"/>
      <c r="E451" s="756"/>
      <c r="F451" s="756"/>
      <c r="G451" s="756"/>
      <c r="H451" s="756"/>
      <c r="I451" s="757"/>
      <c r="J451" s="758"/>
      <c r="K451" s="313"/>
      <c r="L451" s="313"/>
      <c r="M451" s="313"/>
      <c r="N451" s="313"/>
      <c r="O451" s="759"/>
    </row>
    <row r="452" spans="2:15" ht="15">
      <c r="C452" s="760" t="s">
        <v>77</v>
      </c>
      <c r="D452" s="804">
        <v>99133292</v>
      </c>
      <c r="E452" s="721" t="s">
        <v>78</v>
      </c>
      <c r="G452" s="761"/>
      <c r="H452" s="761"/>
      <c r="I452" s="762">
        <f>$L$26</f>
        <v>2021</v>
      </c>
      <c r="J452" s="550"/>
      <c r="K452" s="1558" t="s">
        <v>249</v>
      </c>
      <c r="L452" s="1558"/>
      <c r="M452" s="1558"/>
      <c r="N452" s="1558"/>
      <c r="O452" s="1558"/>
    </row>
    <row r="453" spans="2:15">
      <c r="C453" s="760" t="s">
        <v>80</v>
      </c>
      <c r="D453" s="805">
        <v>2016</v>
      </c>
      <c r="E453" s="760" t="s">
        <v>81</v>
      </c>
      <c r="F453" s="761"/>
      <c r="H453" s="173"/>
      <c r="I453" s="806">
        <f>IF(G446="",0,$F$17)</f>
        <v>0</v>
      </c>
      <c r="J453" s="763"/>
      <c r="K453" s="726" t="s">
        <v>249</v>
      </c>
    </row>
    <row r="454" spans="2:15">
      <c r="C454" s="760" t="s">
        <v>82</v>
      </c>
      <c r="D454" s="804">
        <v>6</v>
      </c>
      <c r="E454" s="760" t="s">
        <v>83</v>
      </c>
      <c r="F454" s="761"/>
      <c r="H454" s="173"/>
      <c r="I454" s="764">
        <f>$G$70</f>
        <v>0.11565015966136639</v>
      </c>
      <c r="J454" s="765"/>
      <c r="K454" s="173" t="str">
        <f>"          INPUT PROJECTED ARR (WITH &amp; WITHOUT INCENTIVES) FROM EACH PRIOR YEAR"</f>
        <v xml:space="preserve">          INPUT PROJECTED ARR (WITH &amp; WITHOUT INCENTIVES) FROM EACH PRIOR YEAR</v>
      </c>
    </row>
    <row r="455" spans="2:15">
      <c r="C455" s="760" t="s">
        <v>84</v>
      </c>
      <c r="D455" s="766">
        <f>$G$79</f>
        <v>39</v>
      </c>
      <c r="E455" s="760" t="s">
        <v>85</v>
      </c>
      <c r="F455" s="761"/>
      <c r="H455" s="173"/>
      <c r="I455" s="764">
        <f>IF(G446="",I454,$G$69)</f>
        <v>0.11565015966136639</v>
      </c>
      <c r="J455" s="767"/>
      <c r="K455" s="173" t="s">
        <v>162</v>
      </c>
    </row>
    <row r="456" spans="2:15" ht="13.5" thickBot="1">
      <c r="C456" s="760" t="s">
        <v>86</v>
      </c>
      <c r="D456" s="803" t="s">
        <v>814</v>
      </c>
      <c r="E456" s="768" t="s">
        <v>87</v>
      </c>
      <c r="F456" s="769"/>
      <c r="G456" s="770"/>
      <c r="H456" s="770"/>
      <c r="I456" s="748">
        <f>IF(D452=0,0,D452/D455)</f>
        <v>2541879.282051282</v>
      </c>
      <c r="J456" s="726"/>
      <c r="K456" s="726" t="s">
        <v>168</v>
      </c>
      <c r="L456" s="726"/>
      <c r="M456" s="726"/>
      <c r="N456" s="726"/>
      <c r="O456" s="423"/>
    </row>
    <row r="457" spans="2:15" ht="51">
      <c r="B457" s="841"/>
      <c r="C457" s="771" t="s">
        <v>77</v>
      </c>
      <c r="D457" s="772" t="s">
        <v>88</v>
      </c>
      <c r="E457" s="773" t="s">
        <v>89</v>
      </c>
      <c r="F457" s="772" t="s">
        <v>90</v>
      </c>
      <c r="G457" s="773" t="s">
        <v>161</v>
      </c>
      <c r="H457" s="774" t="s">
        <v>161</v>
      </c>
      <c r="I457" s="771" t="s">
        <v>100</v>
      </c>
      <c r="J457" s="775"/>
      <c r="K457" s="773" t="s">
        <v>170</v>
      </c>
      <c r="L457" s="776"/>
      <c r="M457" s="773" t="s">
        <v>170</v>
      </c>
      <c r="N457" s="776"/>
      <c r="O457" s="776"/>
    </row>
    <row r="458" spans="2:15" ht="13.5" thickBot="1">
      <c r="C458" s="777" t="s">
        <v>477</v>
      </c>
      <c r="D458" s="778" t="s">
        <v>478</v>
      </c>
      <c r="E458" s="777" t="s">
        <v>371</v>
      </c>
      <c r="F458" s="778" t="s">
        <v>478</v>
      </c>
      <c r="G458" s="779" t="s">
        <v>103</v>
      </c>
      <c r="H458" s="780" t="s">
        <v>105</v>
      </c>
      <c r="I458" s="781" t="s">
        <v>17</v>
      </c>
      <c r="J458" s="782"/>
      <c r="K458" s="779" t="s">
        <v>92</v>
      </c>
      <c r="L458" s="783"/>
      <c r="M458" s="779" t="s">
        <v>105</v>
      </c>
      <c r="N458" s="783"/>
      <c r="O458" s="783"/>
    </row>
    <row r="459" spans="2:15">
      <c r="C459" s="784">
        <f>IF(D453= "","-",D453)</f>
        <v>2016</v>
      </c>
      <c r="D459" s="732">
        <f>+D452</f>
        <v>99133292</v>
      </c>
      <c r="E459" s="785">
        <f>+I456/12*(12-D454)</f>
        <v>1270939.641025641</v>
      </c>
      <c r="F459" s="732">
        <f>+D459-E459</f>
        <v>97862352.358974352</v>
      </c>
      <c r="G459" s="993">
        <f>+$I$96*((D459+F459)/2)+E459</f>
        <v>12662228.502380207</v>
      </c>
      <c r="H459" s="994">
        <f>$I$97*((D459+F459)/2)+E459</f>
        <v>12662228.502380207</v>
      </c>
      <c r="I459" s="788">
        <f>+H459-G459</f>
        <v>0</v>
      </c>
      <c r="J459" s="788"/>
      <c r="K459" s="807">
        <v>8211582</v>
      </c>
      <c r="L459" s="789"/>
      <c r="M459" s="807">
        <v>8211582</v>
      </c>
      <c r="N459" s="789"/>
      <c r="O459" s="789"/>
    </row>
    <row r="460" spans="2:15">
      <c r="C460" s="784">
        <f>IF(D453="","-",+C459+1)</f>
        <v>2017</v>
      </c>
      <c r="D460" s="732">
        <f t="shared" ref="D460:D518" si="24">F459</f>
        <v>97862352.358974352</v>
      </c>
      <c r="E460" s="785">
        <f>IF(D460&gt;$I$456,$I$456,D460)</f>
        <v>2541879.282051282</v>
      </c>
      <c r="F460" s="732">
        <f t="shared" ref="F460:F518" si="25">+D460-E460</f>
        <v>95320473.076923072</v>
      </c>
      <c r="G460" s="790">
        <f t="shared" ref="G460:G518" si="26">+$I$96*((D460+F460)/2)+E460</f>
        <v>13712691.584798986</v>
      </c>
      <c r="H460" s="791">
        <f t="shared" ref="H460:H518" si="27">$I$97*((D460+F460)/2)+E460</f>
        <v>13712691.584798986</v>
      </c>
      <c r="I460" s="788">
        <f t="shared" ref="I460:I518" si="28">+H460-G460</f>
        <v>0</v>
      </c>
      <c r="J460" s="788"/>
      <c r="K460" s="808">
        <v>9400319</v>
      </c>
      <c r="L460" s="792"/>
      <c r="M460" s="808">
        <v>9400319</v>
      </c>
      <c r="N460" s="792"/>
      <c r="O460" s="792"/>
    </row>
    <row r="461" spans="2:15">
      <c r="C461" s="1327">
        <f>IF(D453="","-",+C460+1)</f>
        <v>2018</v>
      </c>
      <c r="D461" s="732">
        <f t="shared" si="24"/>
        <v>95320473.076923072</v>
      </c>
      <c r="E461" s="785">
        <f t="shared" ref="E461:E518" si="29">IF(D461&gt;$I$456,$I$456,D461)</f>
        <v>2541879.282051282</v>
      </c>
      <c r="F461" s="732">
        <f t="shared" si="25"/>
        <v>92778593.794871792</v>
      </c>
      <c r="G461" s="790">
        <f t="shared" si="26"/>
        <v>13418722.839989837</v>
      </c>
      <c r="H461" s="791">
        <f t="shared" si="27"/>
        <v>13418722.839989837</v>
      </c>
      <c r="I461" s="788">
        <f t="shared" si="28"/>
        <v>0</v>
      </c>
      <c r="J461" s="788"/>
      <c r="K461" s="808">
        <v>11231831</v>
      </c>
      <c r="L461" s="792"/>
      <c r="M461" s="808">
        <v>11231831</v>
      </c>
      <c r="N461" s="792"/>
      <c r="O461" s="792"/>
    </row>
    <row r="462" spans="2:15">
      <c r="C462" s="1304">
        <f>IF(D453="","-",+C461+1)</f>
        <v>2019</v>
      </c>
      <c r="D462" s="732">
        <f t="shared" si="24"/>
        <v>92778593.794871792</v>
      </c>
      <c r="E462" s="785">
        <f t="shared" si="29"/>
        <v>2541879.282051282</v>
      </c>
      <c r="F462" s="732">
        <f t="shared" si="25"/>
        <v>90236714.512820512</v>
      </c>
      <c r="G462" s="790">
        <f t="shared" si="26"/>
        <v>13124754.095180687</v>
      </c>
      <c r="H462" s="791">
        <f t="shared" si="27"/>
        <v>13124754.095180687</v>
      </c>
      <c r="I462" s="788">
        <f t="shared" si="28"/>
        <v>0</v>
      </c>
      <c r="J462" s="788"/>
      <c r="K462" s="808"/>
      <c r="L462" s="792"/>
      <c r="M462" s="808"/>
      <c r="N462" s="792"/>
      <c r="O462" s="792"/>
    </row>
    <row r="463" spans="2:15">
      <c r="C463" s="1305">
        <f>IF(D453="","-",+C462+1)</f>
        <v>2020</v>
      </c>
      <c r="D463" s="732">
        <f t="shared" si="24"/>
        <v>90236714.512820512</v>
      </c>
      <c r="E463" s="785">
        <f t="shared" si="29"/>
        <v>2541879.282051282</v>
      </c>
      <c r="F463" s="732">
        <f t="shared" si="25"/>
        <v>87694835.230769232</v>
      </c>
      <c r="G463" s="790">
        <f t="shared" si="26"/>
        <v>12830785.350371538</v>
      </c>
      <c r="H463" s="791">
        <f t="shared" si="27"/>
        <v>12830785.350371538</v>
      </c>
      <c r="I463" s="788">
        <f t="shared" si="28"/>
        <v>0</v>
      </c>
      <c r="J463" s="788"/>
      <c r="K463" s="808"/>
      <c r="L463" s="792"/>
      <c r="M463" s="808"/>
      <c r="N463" s="792"/>
      <c r="O463" s="792"/>
    </row>
    <row r="464" spans="2:15">
      <c r="C464" s="1305">
        <f>IF(D453="","-",+C463+1)</f>
        <v>2021</v>
      </c>
      <c r="D464" s="732">
        <f t="shared" si="24"/>
        <v>87694835.230769232</v>
      </c>
      <c r="E464" s="785">
        <f t="shared" si="29"/>
        <v>2541879.282051282</v>
      </c>
      <c r="F464" s="732">
        <f t="shared" si="25"/>
        <v>85152955.948717952</v>
      </c>
      <c r="G464" s="790">
        <f t="shared" si="26"/>
        <v>12536816.605562387</v>
      </c>
      <c r="H464" s="791">
        <f t="shared" si="27"/>
        <v>12536816.605562387</v>
      </c>
      <c r="I464" s="788">
        <f t="shared" si="28"/>
        <v>0</v>
      </c>
      <c r="J464" s="788"/>
      <c r="K464" s="808"/>
      <c r="L464" s="792"/>
      <c r="M464" s="808"/>
      <c r="N464" s="792"/>
      <c r="O464" s="792"/>
    </row>
    <row r="465" spans="3:15">
      <c r="C465" s="784">
        <f>IF(D453="","-",+C464+1)</f>
        <v>2022</v>
      </c>
      <c r="D465" s="732">
        <f t="shared" si="24"/>
        <v>85152955.948717952</v>
      </c>
      <c r="E465" s="785">
        <f t="shared" si="29"/>
        <v>2541879.282051282</v>
      </c>
      <c r="F465" s="732">
        <f t="shared" si="25"/>
        <v>82611076.666666672</v>
      </c>
      <c r="G465" s="790">
        <f t="shared" si="26"/>
        <v>12242847.860753238</v>
      </c>
      <c r="H465" s="791">
        <f t="shared" si="27"/>
        <v>12242847.860753238</v>
      </c>
      <c r="I465" s="788">
        <f t="shared" si="28"/>
        <v>0</v>
      </c>
      <c r="J465" s="788"/>
      <c r="K465" s="808"/>
      <c r="L465" s="792"/>
      <c r="M465" s="808"/>
      <c r="N465" s="792"/>
      <c r="O465" s="792"/>
    </row>
    <row r="466" spans="3:15">
      <c r="C466" s="784">
        <f>IF(D453="","-",+C465+1)</f>
        <v>2023</v>
      </c>
      <c r="D466" s="732">
        <f t="shared" si="24"/>
        <v>82611076.666666672</v>
      </c>
      <c r="E466" s="785">
        <f t="shared" si="29"/>
        <v>2541879.282051282</v>
      </c>
      <c r="F466" s="732">
        <f t="shared" si="25"/>
        <v>80069197.384615391</v>
      </c>
      <c r="G466" s="790">
        <f t="shared" si="26"/>
        <v>11948879.115944088</v>
      </c>
      <c r="H466" s="791">
        <f t="shared" si="27"/>
        <v>11948879.115944088</v>
      </c>
      <c r="I466" s="788">
        <f t="shared" si="28"/>
        <v>0</v>
      </c>
      <c r="J466" s="788"/>
      <c r="K466" s="808"/>
      <c r="L466" s="792"/>
      <c r="M466" s="808"/>
      <c r="N466" s="792"/>
      <c r="O466" s="792"/>
    </row>
    <row r="467" spans="3:15">
      <c r="C467" s="784">
        <f>IF(D453="","-",+C466+1)</f>
        <v>2024</v>
      </c>
      <c r="D467" s="732">
        <f t="shared" si="24"/>
        <v>80069197.384615391</v>
      </c>
      <c r="E467" s="785">
        <f t="shared" si="29"/>
        <v>2541879.282051282</v>
      </c>
      <c r="F467" s="732">
        <f t="shared" si="25"/>
        <v>77527318.102564111</v>
      </c>
      <c r="G467" s="790">
        <f t="shared" si="26"/>
        <v>11654910.371134939</v>
      </c>
      <c r="H467" s="791">
        <f t="shared" si="27"/>
        <v>11654910.371134939</v>
      </c>
      <c r="I467" s="788">
        <f t="shared" si="28"/>
        <v>0</v>
      </c>
      <c r="J467" s="788"/>
      <c r="K467" s="808"/>
      <c r="L467" s="792"/>
      <c r="M467" s="808"/>
      <c r="N467" s="792"/>
      <c r="O467" s="792"/>
    </row>
    <row r="468" spans="3:15">
      <c r="C468" s="784">
        <f>IF(D453="","-",+C467+1)</f>
        <v>2025</v>
      </c>
      <c r="D468" s="732">
        <f t="shared" si="24"/>
        <v>77527318.102564111</v>
      </c>
      <c r="E468" s="785">
        <f t="shared" si="29"/>
        <v>2541879.282051282</v>
      </c>
      <c r="F468" s="732">
        <f t="shared" si="25"/>
        <v>74985438.820512831</v>
      </c>
      <c r="G468" s="790">
        <f t="shared" si="26"/>
        <v>11360941.626325786</v>
      </c>
      <c r="H468" s="791">
        <f t="shared" si="27"/>
        <v>11360941.626325786</v>
      </c>
      <c r="I468" s="788">
        <f t="shared" si="28"/>
        <v>0</v>
      </c>
      <c r="J468" s="788"/>
      <c r="K468" s="808"/>
      <c r="L468" s="792"/>
      <c r="M468" s="808"/>
      <c r="N468" s="792"/>
      <c r="O468" s="792"/>
    </row>
    <row r="469" spans="3:15">
      <c r="C469" s="784">
        <f>IF(D453="","-",+C468+1)</f>
        <v>2026</v>
      </c>
      <c r="D469" s="732">
        <f t="shared" si="24"/>
        <v>74985438.820512831</v>
      </c>
      <c r="E469" s="785">
        <f t="shared" si="29"/>
        <v>2541879.282051282</v>
      </c>
      <c r="F469" s="732">
        <f t="shared" si="25"/>
        <v>72443559.538461551</v>
      </c>
      <c r="G469" s="790">
        <f t="shared" si="26"/>
        <v>11066972.881516639</v>
      </c>
      <c r="H469" s="791">
        <f t="shared" si="27"/>
        <v>11066972.881516639</v>
      </c>
      <c r="I469" s="788">
        <f t="shared" si="28"/>
        <v>0</v>
      </c>
      <c r="J469" s="788"/>
      <c r="K469" s="808"/>
      <c r="L469" s="792"/>
      <c r="M469" s="808"/>
      <c r="N469" s="792"/>
      <c r="O469" s="792"/>
    </row>
    <row r="470" spans="3:15">
      <c r="C470" s="784">
        <f>IF(D453="","-",+C469+1)</f>
        <v>2027</v>
      </c>
      <c r="D470" s="732">
        <f t="shared" si="24"/>
        <v>72443559.538461551</v>
      </c>
      <c r="E470" s="785">
        <f t="shared" si="29"/>
        <v>2541879.282051282</v>
      </c>
      <c r="F470" s="732">
        <f t="shared" si="25"/>
        <v>69901680.256410271</v>
      </c>
      <c r="G470" s="790">
        <f t="shared" si="26"/>
        <v>10773004.136707487</v>
      </c>
      <c r="H470" s="791">
        <f t="shared" si="27"/>
        <v>10773004.136707487</v>
      </c>
      <c r="I470" s="788">
        <f t="shared" si="28"/>
        <v>0</v>
      </c>
      <c r="J470" s="788"/>
      <c r="K470" s="808"/>
      <c r="L470" s="792"/>
      <c r="M470" s="808"/>
      <c r="N470" s="792"/>
      <c r="O470" s="792"/>
    </row>
    <row r="471" spans="3:15">
      <c r="C471" s="784">
        <f>IF(D453="","-",+C470+1)</f>
        <v>2028</v>
      </c>
      <c r="D471" s="732">
        <f t="shared" si="24"/>
        <v>69901680.256410271</v>
      </c>
      <c r="E471" s="785">
        <f t="shared" si="29"/>
        <v>2541879.282051282</v>
      </c>
      <c r="F471" s="732">
        <f t="shared" si="25"/>
        <v>67359800.974358991</v>
      </c>
      <c r="G471" s="790">
        <f t="shared" si="26"/>
        <v>10479035.391898338</v>
      </c>
      <c r="H471" s="791">
        <f t="shared" si="27"/>
        <v>10479035.391898338</v>
      </c>
      <c r="I471" s="788">
        <f t="shared" si="28"/>
        <v>0</v>
      </c>
      <c r="J471" s="788"/>
      <c r="K471" s="808"/>
      <c r="L471" s="792"/>
      <c r="M471" s="808"/>
      <c r="N471" s="793"/>
      <c r="O471" s="792"/>
    </row>
    <row r="472" spans="3:15">
      <c r="C472" s="784">
        <f>IF(D453="","-",+C471+1)</f>
        <v>2029</v>
      </c>
      <c r="D472" s="732">
        <f t="shared" si="24"/>
        <v>67359800.974358991</v>
      </c>
      <c r="E472" s="785">
        <f t="shared" si="29"/>
        <v>2541879.282051282</v>
      </c>
      <c r="F472" s="732">
        <f t="shared" si="25"/>
        <v>64817921.692307711</v>
      </c>
      <c r="G472" s="790">
        <f t="shared" si="26"/>
        <v>10185066.647089187</v>
      </c>
      <c r="H472" s="791">
        <f t="shared" si="27"/>
        <v>10185066.647089187</v>
      </c>
      <c r="I472" s="788">
        <f t="shared" si="28"/>
        <v>0</v>
      </c>
      <c r="J472" s="788"/>
      <c r="K472" s="808"/>
      <c r="L472" s="792"/>
      <c r="M472" s="808"/>
      <c r="N472" s="792"/>
      <c r="O472" s="792"/>
    </row>
    <row r="473" spans="3:15">
      <c r="C473" s="784">
        <f>IF(D453="","-",+C472+1)</f>
        <v>2030</v>
      </c>
      <c r="D473" s="732">
        <f t="shared" si="24"/>
        <v>64817921.692307711</v>
      </c>
      <c r="E473" s="785">
        <f t="shared" si="29"/>
        <v>2541879.282051282</v>
      </c>
      <c r="F473" s="732">
        <f t="shared" si="25"/>
        <v>62276042.410256431</v>
      </c>
      <c r="G473" s="790">
        <f t="shared" si="26"/>
        <v>9891097.9022800382</v>
      </c>
      <c r="H473" s="791">
        <f t="shared" si="27"/>
        <v>9891097.9022800382</v>
      </c>
      <c r="I473" s="788">
        <f t="shared" si="28"/>
        <v>0</v>
      </c>
      <c r="J473" s="788"/>
      <c r="K473" s="808"/>
      <c r="L473" s="792"/>
      <c r="M473" s="808"/>
      <c r="N473" s="792"/>
      <c r="O473" s="792"/>
    </row>
    <row r="474" spans="3:15">
      <c r="C474" s="784">
        <f>IF(D453="","-",+C473+1)</f>
        <v>2031</v>
      </c>
      <c r="D474" s="732">
        <f t="shared" si="24"/>
        <v>62276042.410256431</v>
      </c>
      <c r="E474" s="785">
        <f t="shared" si="29"/>
        <v>2541879.282051282</v>
      </c>
      <c r="F474" s="732">
        <f t="shared" si="25"/>
        <v>59734163.12820515</v>
      </c>
      <c r="G474" s="790">
        <f t="shared" si="26"/>
        <v>9597129.1574708894</v>
      </c>
      <c r="H474" s="791">
        <f t="shared" si="27"/>
        <v>9597129.1574708894</v>
      </c>
      <c r="I474" s="788">
        <f t="shared" si="28"/>
        <v>0</v>
      </c>
      <c r="J474" s="788"/>
      <c r="K474" s="808"/>
      <c r="L474" s="792"/>
      <c r="M474" s="808"/>
      <c r="N474" s="792"/>
      <c r="O474" s="792"/>
    </row>
    <row r="475" spans="3:15">
      <c r="C475" s="784">
        <f>IF(D453="","-",+C474+1)</f>
        <v>2032</v>
      </c>
      <c r="D475" s="732">
        <f t="shared" si="24"/>
        <v>59734163.12820515</v>
      </c>
      <c r="E475" s="785">
        <f t="shared" si="29"/>
        <v>2541879.282051282</v>
      </c>
      <c r="F475" s="732">
        <f t="shared" si="25"/>
        <v>57192283.84615387</v>
      </c>
      <c r="G475" s="790">
        <f t="shared" si="26"/>
        <v>9303160.4126617387</v>
      </c>
      <c r="H475" s="791">
        <f t="shared" si="27"/>
        <v>9303160.4126617387</v>
      </c>
      <c r="I475" s="788">
        <f t="shared" si="28"/>
        <v>0</v>
      </c>
      <c r="J475" s="788"/>
      <c r="K475" s="808"/>
      <c r="L475" s="792"/>
      <c r="M475" s="808"/>
      <c r="N475" s="792"/>
      <c r="O475" s="792"/>
    </row>
    <row r="476" spans="3:15">
      <c r="C476" s="784">
        <f>IF(D453="","-",+C475+1)</f>
        <v>2033</v>
      </c>
      <c r="D476" s="732">
        <f t="shared" si="24"/>
        <v>57192283.84615387</v>
      </c>
      <c r="E476" s="785">
        <f t="shared" si="29"/>
        <v>2541879.282051282</v>
      </c>
      <c r="F476" s="732">
        <f t="shared" si="25"/>
        <v>54650404.56410259</v>
      </c>
      <c r="G476" s="790">
        <f t="shared" si="26"/>
        <v>9009191.667852588</v>
      </c>
      <c r="H476" s="791">
        <f t="shared" si="27"/>
        <v>9009191.667852588</v>
      </c>
      <c r="I476" s="788">
        <f t="shared" si="28"/>
        <v>0</v>
      </c>
      <c r="J476" s="788"/>
      <c r="K476" s="808"/>
      <c r="L476" s="792"/>
      <c r="M476" s="808"/>
      <c r="N476" s="792"/>
      <c r="O476" s="792"/>
    </row>
    <row r="477" spans="3:15">
      <c r="C477" s="784">
        <f>IF(D453="","-",+C476+1)</f>
        <v>2034</v>
      </c>
      <c r="D477" s="732">
        <f t="shared" si="24"/>
        <v>54650404.56410259</v>
      </c>
      <c r="E477" s="785">
        <f t="shared" si="29"/>
        <v>2541879.282051282</v>
      </c>
      <c r="F477" s="732">
        <f t="shared" si="25"/>
        <v>52108525.28205131</v>
      </c>
      <c r="G477" s="790">
        <f t="shared" si="26"/>
        <v>8715222.9230434373</v>
      </c>
      <c r="H477" s="791">
        <f t="shared" si="27"/>
        <v>8715222.9230434373</v>
      </c>
      <c r="I477" s="788">
        <f t="shared" si="28"/>
        <v>0</v>
      </c>
      <c r="J477" s="788"/>
      <c r="K477" s="808"/>
      <c r="L477" s="792"/>
      <c r="M477" s="808"/>
      <c r="N477" s="792"/>
      <c r="O477" s="792"/>
    </row>
    <row r="478" spans="3:15">
      <c r="C478" s="784">
        <f>IF(D453="","-",+C477+1)</f>
        <v>2035</v>
      </c>
      <c r="D478" s="732">
        <f t="shared" si="24"/>
        <v>52108525.28205131</v>
      </c>
      <c r="E478" s="785">
        <f t="shared" si="29"/>
        <v>2541879.282051282</v>
      </c>
      <c r="F478" s="732">
        <f t="shared" si="25"/>
        <v>49566646.00000003</v>
      </c>
      <c r="G478" s="790">
        <f t="shared" si="26"/>
        <v>8421254.1782342885</v>
      </c>
      <c r="H478" s="791">
        <f t="shared" si="27"/>
        <v>8421254.1782342885</v>
      </c>
      <c r="I478" s="788">
        <f t="shared" si="28"/>
        <v>0</v>
      </c>
      <c r="J478" s="788"/>
      <c r="K478" s="808"/>
      <c r="L478" s="792"/>
      <c r="M478" s="808"/>
      <c r="N478" s="792"/>
      <c r="O478" s="792"/>
    </row>
    <row r="479" spans="3:15">
      <c r="C479" s="784">
        <f>IF(D453="","-",+C478+1)</f>
        <v>2036</v>
      </c>
      <c r="D479" s="732">
        <f t="shared" si="24"/>
        <v>49566646.00000003</v>
      </c>
      <c r="E479" s="785">
        <f t="shared" si="29"/>
        <v>2541879.282051282</v>
      </c>
      <c r="F479" s="732">
        <f t="shared" si="25"/>
        <v>47024766.71794875</v>
      </c>
      <c r="G479" s="790">
        <f t="shared" si="26"/>
        <v>8127285.4334251387</v>
      </c>
      <c r="H479" s="791">
        <f t="shared" si="27"/>
        <v>8127285.4334251387</v>
      </c>
      <c r="I479" s="788">
        <f t="shared" si="28"/>
        <v>0</v>
      </c>
      <c r="J479" s="788"/>
      <c r="K479" s="808"/>
      <c r="L479" s="792"/>
      <c r="M479" s="808"/>
      <c r="N479" s="792"/>
      <c r="O479" s="792"/>
    </row>
    <row r="480" spans="3:15">
      <c r="C480" s="784">
        <f>IF(D453="","-",+C479+1)</f>
        <v>2037</v>
      </c>
      <c r="D480" s="732">
        <f t="shared" si="24"/>
        <v>47024766.71794875</v>
      </c>
      <c r="E480" s="785">
        <f t="shared" si="29"/>
        <v>2541879.282051282</v>
      </c>
      <c r="F480" s="732">
        <f t="shared" si="25"/>
        <v>44482887.43589747</v>
      </c>
      <c r="G480" s="790">
        <f t="shared" si="26"/>
        <v>7833316.6886159889</v>
      </c>
      <c r="H480" s="791">
        <f t="shared" si="27"/>
        <v>7833316.6886159889</v>
      </c>
      <c r="I480" s="788">
        <f t="shared" si="28"/>
        <v>0</v>
      </c>
      <c r="J480" s="788"/>
      <c r="K480" s="808"/>
      <c r="L480" s="792"/>
      <c r="M480" s="808"/>
      <c r="N480" s="792"/>
      <c r="O480" s="792"/>
    </row>
    <row r="481" spans="3:15">
      <c r="C481" s="784">
        <f>IF(D453="","-",+C480+1)</f>
        <v>2038</v>
      </c>
      <c r="D481" s="732">
        <f t="shared" si="24"/>
        <v>44482887.43589747</v>
      </c>
      <c r="E481" s="785">
        <f t="shared" si="29"/>
        <v>2541879.282051282</v>
      </c>
      <c r="F481" s="732">
        <f t="shared" si="25"/>
        <v>41941008.153846189</v>
      </c>
      <c r="G481" s="790">
        <f t="shared" si="26"/>
        <v>7539347.9438068382</v>
      </c>
      <c r="H481" s="791">
        <f t="shared" si="27"/>
        <v>7539347.9438068382</v>
      </c>
      <c r="I481" s="788">
        <f t="shared" si="28"/>
        <v>0</v>
      </c>
      <c r="J481" s="788"/>
      <c r="K481" s="808"/>
      <c r="L481" s="792"/>
      <c r="M481" s="808"/>
      <c r="N481" s="792"/>
      <c r="O481" s="792"/>
    </row>
    <row r="482" spans="3:15">
      <c r="C482" s="784">
        <f>IF(D453="","-",+C481+1)</f>
        <v>2039</v>
      </c>
      <c r="D482" s="732">
        <f t="shared" si="24"/>
        <v>41941008.153846189</v>
      </c>
      <c r="E482" s="785">
        <f t="shared" si="29"/>
        <v>2541879.282051282</v>
      </c>
      <c r="F482" s="732">
        <f t="shared" si="25"/>
        <v>39399128.871794909</v>
      </c>
      <c r="G482" s="790">
        <f t="shared" si="26"/>
        <v>7245379.1989976885</v>
      </c>
      <c r="H482" s="791">
        <f t="shared" si="27"/>
        <v>7245379.1989976885</v>
      </c>
      <c r="I482" s="788">
        <f t="shared" si="28"/>
        <v>0</v>
      </c>
      <c r="J482" s="788"/>
      <c r="K482" s="808"/>
      <c r="L482" s="792"/>
      <c r="M482" s="808"/>
      <c r="N482" s="792"/>
      <c r="O482" s="792"/>
    </row>
    <row r="483" spans="3:15">
      <c r="C483" s="784">
        <f>IF(D453="","-",+C482+1)</f>
        <v>2040</v>
      </c>
      <c r="D483" s="732">
        <f t="shared" si="24"/>
        <v>39399128.871794909</v>
      </c>
      <c r="E483" s="785">
        <f t="shared" si="29"/>
        <v>2541879.282051282</v>
      </c>
      <c r="F483" s="732">
        <f t="shared" si="25"/>
        <v>36857249.589743629</v>
      </c>
      <c r="G483" s="790">
        <f t="shared" si="26"/>
        <v>6951410.4541885387</v>
      </c>
      <c r="H483" s="791">
        <f t="shared" si="27"/>
        <v>6951410.4541885387</v>
      </c>
      <c r="I483" s="788">
        <f t="shared" si="28"/>
        <v>0</v>
      </c>
      <c r="J483" s="788"/>
      <c r="K483" s="808"/>
      <c r="L483" s="792"/>
      <c r="M483" s="808"/>
      <c r="N483" s="792"/>
      <c r="O483" s="792"/>
    </row>
    <row r="484" spans="3:15">
      <c r="C484" s="784">
        <f>IF(D453="","-",+C483+1)</f>
        <v>2041</v>
      </c>
      <c r="D484" s="732">
        <f t="shared" si="24"/>
        <v>36857249.589743629</v>
      </c>
      <c r="E484" s="785">
        <f t="shared" si="29"/>
        <v>2541879.282051282</v>
      </c>
      <c r="F484" s="732">
        <f t="shared" si="25"/>
        <v>34315370.307692349</v>
      </c>
      <c r="G484" s="790">
        <f t="shared" si="26"/>
        <v>6657441.709379389</v>
      </c>
      <c r="H484" s="791">
        <f t="shared" si="27"/>
        <v>6657441.709379389</v>
      </c>
      <c r="I484" s="788">
        <f t="shared" si="28"/>
        <v>0</v>
      </c>
      <c r="J484" s="788"/>
      <c r="K484" s="808"/>
      <c r="L484" s="792"/>
      <c r="M484" s="808"/>
      <c r="N484" s="792"/>
      <c r="O484" s="792"/>
    </row>
    <row r="485" spans="3:15">
      <c r="C485" s="784">
        <f>IF(D453="","-",+C484+1)</f>
        <v>2042</v>
      </c>
      <c r="D485" s="732">
        <f t="shared" si="24"/>
        <v>34315370.307692349</v>
      </c>
      <c r="E485" s="785">
        <f t="shared" si="29"/>
        <v>2541879.282051282</v>
      </c>
      <c r="F485" s="732">
        <f t="shared" si="25"/>
        <v>31773491.025641069</v>
      </c>
      <c r="G485" s="790">
        <f t="shared" si="26"/>
        <v>6363472.9645702392</v>
      </c>
      <c r="H485" s="791">
        <f t="shared" si="27"/>
        <v>6363472.9645702392</v>
      </c>
      <c r="I485" s="788">
        <f t="shared" si="28"/>
        <v>0</v>
      </c>
      <c r="J485" s="788"/>
      <c r="K485" s="808"/>
      <c r="L485" s="792"/>
      <c r="M485" s="808"/>
      <c r="N485" s="792"/>
      <c r="O485" s="792"/>
    </row>
    <row r="486" spans="3:15">
      <c r="C486" s="784">
        <f>IF(D453="","-",+C485+1)</f>
        <v>2043</v>
      </c>
      <c r="D486" s="732">
        <f t="shared" si="24"/>
        <v>31773491.025641069</v>
      </c>
      <c r="E486" s="785">
        <f t="shared" si="29"/>
        <v>2541879.282051282</v>
      </c>
      <c r="F486" s="732">
        <f t="shared" si="25"/>
        <v>29231611.743589789</v>
      </c>
      <c r="G486" s="790">
        <f t="shared" si="26"/>
        <v>6069504.2197610885</v>
      </c>
      <c r="H486" s="791">
        <f t="shared" si="27"/>
        <v>6069504.2197610885</v>
      </c>
      <c r="I486" s="788">
        <f t="shared" si="28"/>
        <v>0</v>
      </c>
      <c r="J486" s="788"/>
      <c r="K486" s="808"/>
      <c r="L486" s="792"/>
      <c r="M486" s="808"/>
      <c r="N486" s="792"/>
      <c r="O486" s="792"/>
    </row>
    <row r="487" spans="3:15">
      <c r="C487" s="784">
        <f>IF(D453="","-",+C486+1)</f>
        <v>2044</v>
      </c>
      <c r="D487" s="732">
        <f t="shared" si="24"/>
        <v>29231611.743589789</v>
      </c>
      <c r="E487" s="785">
        <f t="shared" si="29"/>
        <v>2541879.282051282</v>
      </c>
      <c r="F487" s="732">
        <f t="shared" si="25"/>
        <v>26689732.461538509</v>
      </c>
      <c r="G487" s="786">
        <f t="shared" si="26"/>
        <v>5775535.4749519397</v>
      </c>
      <c r="H487" s="791">
        <f t="shared" si="27"/>
        <v>5775535.4749519397</v>
      </c>
      <c r="I487" s="788">
        <f t="shared" si="28"/>
        <v>0</v>
      </c>
      <c r="J487" s="788"/>
      <c r="K487" s="808"/>
      <c r="L487" s="792"/>
      <c r="M487" s="808"/>
      <c r="N487" s="792"/>
      <c r="O487" s="792"/>
    </row>
    <row r="488" spans="3:15">
      <c r="C488" s="784">
        <f>IF(D453="","-",+C487+1)</f>
        <v>2045</v>
      </c>
      <c r="D488" s="732">
        <f t="shared" si="24"/>
        <v>26689732.461538509</v>
      </c>
      <c r="E488" s="785">
        <f t="shared" si="29"/>
        <v>2541879.282051282</v>
      </c>
      <c r="F488" s="732">
        <f t="shared" si="25"/>
        <v>24147853.179487228</v>
      </c>
      <c r="G488" s="790">
        <f t="shared" si="26"/>
        <v>5481566.730142789</v>
      </c>
      <c r="H488" s="791">
        <f t="shared" si="27"/>
        <v>5481566.730142789</v>
      </c>
      <c r="I488" s="788">
        <f t="shared" si="28"/>
        <v>0</v>
      </c>
      <c r="J488" s="788"/>
      <c r="K488" s="808"/>
      <c r="L488" s="792"/>
      <c r="M488" s="808"/>
      <c r="N488" s="792"/>
      <c r="O488" s="792"/>
    </row>
    <row r="489" spans="3:15">
      <c r="C489" s="784">
        <f>IF(D453="","-",+C488+1)</f>
        <v>2046</v>
      </c>
      <c r="D489" s="732">
        <f t="shared" si="24"/>
        <v>24147853.179487228</v>
      </c>
      <c r="E489" s="785">
        <f t="shared" si="29"/>
        <v>2541879.282051282</v>
      </c>
      <c r="F489" s="732">
        <f t="shared" si="25"/>
        <v>21605973.897435948</v>
      </c>
      <c r="G489" s="790">
        <f t="shared" si="26"/>
        <v>5187597.9853336392</v>
      </c>
      <c r="H489" s="791">
        <f t="shared" si="27"/>
        <v>5187597.9853336392</v>
      </c>
      <c r="I489" s="788">
        <f t="shared" si="28"/>
        <v>0</v>
      </c>
      <c r="J489" s="788"/>
      <c r="K489" s="808"/>
      <c r="L489" s="792"/>
      <c r="M489" s="808"/>
      <c r="N489" s="792"/>
      <c r="O489" s="792"/>
    </row>
    <row r="490" spans="3:15">
      <c r="C490" s="784">
        <f>IF(D453="","-",+C489+1)</f>
        <v>2047</v>
      </c>
      <c r="D490" s="732">
        <f t="shared" si="24"/>
        <v>21605973.897435948</v>
      </c>
      <c r="E490" s="785">
        <f t="shared" si="29"/>
        <v>2541879.282051282</v>
      </c>
      <c r="F490" s="732">
        <f t="shared" si="25"/>
        <v>19064094.615384668</v>
      </c>
      <c r="G490" s="790">
        <f t="shared" si="26"/>
        <v>4893629.2405244894</v>
      </c>
      <c r="H490" s="791">
        <f t="shared" si="27"/>
        <v>4893629.2405244894</v>
      </c>
      <c r="I490" s="788">
        <f t="shared" si="28"/>
        <v>0</v>
      </c>
      <c r="J490" s="788"/>
      <c r="K490" s="808"/>
      <c r="L490" s="792"/>
      <c r="M490" s="808"/>
      <c r="N490" s="792"/>
      <c r="O490" s="792"/>
    </row>
    <row r="491" spans="3:15">
      <c r="C491" s="784">
        <f>IF(D453="","-",+C490+1)</f>
        <v>2048</v>
      </c>
      <c r="D491" s="732">
        <f t="shared" si="24"/>
        <v>19064094.615384668</v>
      </c>
      <c r="E491" s="785">
        <f t="shared" si="29"/>
        <v>2541879.282051282</v>
      </c>
      <c r="F491" s="732">
        <f t="shared" si="25"/>
        <v>16522215.333333386</v>
      </c>
      <c r="G491" s="790">
        <f t="shared" si="26"/>
        <v>4599660.4957153387</v>
      </c>
      <c r="H491" s="791">
        <f t="shared" si="27"/>
        <v>4599660.4957153387</v>
      </c>
      <c r="I491" s="788">
        <f t="shared" si="28"/>
        <v>0</v>
      </c>
      <c r="J491" s="788"/>
      <c r="K491" s="808"/>
      <c r="L491" s="792"/>
      <c r="M491" s="808"/>
      <c r="N491" s="792"/>
      <c r="O491" s="792"/>
    </row>
    <row r="492" spans="3:15">
      <c r="C492" s="784">
        <f>IF(D453="","-",+C491+1)</f>
        <v>2049</v>
      </c>
      <c r="D492" s="732">
        <f t="shared" si="24"/>
        <v>16522215.333333386</v>
      </c>
      <c r="E492" s="785">
        <f t="shared" si="29"/>
        <v>2541879.282051282</v>
      </c>
      <c r="F492" s="732">
        <f t="shared" si="25"/>
        <v>13980336.051282104</v>
      </c>
      <c r="G492" s="790">
        <f t="shared" si="26"/>
        <v>4305691.750906189</v>
      </c>
      <c r="H492" s="791">
        <f t="shared" si="27"/>
        <v>4305691.750906189</v>
      </c>
      <c r="I492" s="788">
        <f t="shared" si="28"/>
        <v>0</v>
      </c>
      <c r="J492" s="788"/>
      <c r="K492" s="808"/>
      <c r="L492" s="792"/>
      <c r="M492" s="808"/>
      <c r="N492" s="792"/>
      <c r="O492" s="792"/>
    </row>
    <row r="493" spans="3:15">
      <c r="C493" s="784">
        <f>IF(D453="","-",+C492+1)</f>
        <v>2050</v>
      </c>
      <c r="D493" s="732">
        <f t="shared" si="24"/>
        <v>13980336.051282104</v>
      </c>
      <c r="E493" s="785">
        <f t="shared" si="29"/>
        <v>2541879.282051282</v>
      </c>
      <c r="F493" s="732">
        <f t="shared" si="25"/>
        <v>11438456.769230822</v>
      </c>
      <c r="G493" s="790">
        <f t="shared" si="26"/>
        <v>4011723.0060970392</v>
      </c>
      <c r="H493" s="791">
        <f t="shared" si="27"/>
        <v>4011723.0060970392</v>
      </c>
      <c r="I493" s="788">
        <f t="shared" si="28"/>
        <v>0</v>
      </c>
      <c r="J493" s="788"/>
      <c r="K493" s="808"/>
      <c r="L493" s="792"/>
      <c r="M493" s="808"/>
      <c r="N493" s="792"/>
      <c r="O493" s="792"/>
    </row>
    <row r="494" spans="3:15">
      <c r="C494" s="784">
        <f>IF(D453="","-",+C493+1)</f>
        <v>2051</v>
      </c>
      <c r="D494" s="732">
        <f t="shared" si="24"/>
        <v>11438456.769230822</v>
      </c>
      <c r="E494" s="785">
        <f t="shared" si="29"/>
        <v>2541879.282051282</v>
      </c>
      <c r="F494" s="732">
        <f t="shared" si="25"/>
        <v>8896577.4871795401</v>
      </c>
      <c r="G494" s="790">
        <f t="shared" si="26"/>
        <v>3717754.2612878885</v>
      </c>
      <c r="H494" s="791">
        <f t="shared" si="27"/>
        <v>3717754.2612878885</v>
      </c>
      <c r="I494" s="788">
        <f t="shared" si="28"/>
        <v>0</v>
      </c>
      <c r="J494" s="788"/>
      <c r="K494" s="808"/>
      <c r="L494" s="792"/>
      <c r="M494" s="808"/>
      <c r="N494" s="792"/>
      <c r="O494" s="792"/>
    </row>
    <row r="495" spans="3:15">
      <c r="C495" s="784">
        <f>IF(D453="","-",+C494+1)</f>
        <v>2052</v>
      </c>
      <c r="D495" s="732">
        <f t="shared" si="24"/>
        <v>8896577.4871795401</v>
      </c>
      <c r="E495" s="785">
        <f t="shared" si="29"/>
        <v>2541879.282051282</v>
      </c>
      <c r="F495" s="732">
        <f t="shared" si="25"/>
        <v>6354698.2051282581</v>
      </c>
      <c r="G495" s="790">
        <f t="shared" si="26"/>
        <v>3423785.5164787387</v>
      </c>
      <c r="H495" s="791">
        <f t="shared" si="27"/>
        <v>3423785.5164787387</v>
      </c>
      <c r="I495" s="788">
        <f t="shared" si="28"/>
        <v>0</v>
      </c>
      <c r="J495" s="788"/>
      <c r="K495" s="808"/>
      <c r="L495" s="792"/>
      <c r="M495" s="808"/>
      <c r="N495" s="792"/>
      <c r="O495" s="792"/>
    </row>
    <row r="496" spans="3:15">
      <c r="C496" s="784">
        <f>IF(D453="","-",+C495+1)</f>
        <v>2053</v>
      </c>
      <c r="D496" s="732">
        <f t="shared" si="24"/>
        <v>6354698.2051282581</v>
      </c>
      <c r="E496" s="785">
        <f t="shared" si="29"/>
        <v>2541879.282051282</v>
      </c>
      <c r="F496" s="732">
        <f t="shared" si="25"/>
        <v>3812818.9230769761</v>
      </c>
      <c r="G496" s="790">
        <f t="shared" si="26"/>
        <v>3129816.7716695885</v>
      </c>
      <c r="H496" s="791">
        <f t="shared" si="27"/>
        <v>3129816.7716695885</v>
      </c>
      <c r="I496" s="788">
        <f t="shared" si="28"/>
        <v>0</v>
      </c>
      <c r="J496" s="788"/>
      <c r="K496" s="808"/>
      <c r="L496" s="792"/>
      <c r="M496" s="808"/>
      <c r="N496" s="792"/>
      <c r="O496" s="792"/>
    </row>
    <row r="497" spans="3:15">
      <c r="C497" s="784">
        <f>IF(D453="","-",+C496+1)</f>
        <v>2054</v>
      </c>
      <c r="D497" s="732">
        <f t="shared" si="24"/>
        <v>3812818.9230769761</v>
      </c>
      <c r="E497" s="785">
        <f t="shared" si="29"/>
        <v>2541879.282051282</v>
      </c>
      <c r="F497" s="732">
        <f t="shared" si="25"/>
        <v>1270939.6410256941</v>
      </c>
      <c r="G497" s="790">
        <f t="shared" si="26"/>
        <v>2835848.0268604383</v>
      </c>
      <c r="H497" s="791">
        <f t="shared" si="27"/>
        <v>2835848.0268604383</v>
      </c>
      <c r="I497" s="788">
        <f t="shared" si="28"/>
        <v>0</v>
      </c>
      <c r="J497" s="788"/>
      <c r="K497" s="808"/>
      <c r="L497" s="792"/>
      <c r="M497" s="808"/>
      <c r="N497" s="792"/>
      <c r="O497" s="792"/>
    </row>
    <row r="498" spans="3:15">
      <c r="C498" s="784">
        <f>IF(D453="","-",+C497+1)</f>
        <v>2055</v>
      </c>
      <c r="D498" s="732">
        <f t="shared" si="24"/>
        <v>1270939.6410256941</v>
      </c>
      <c r="E498" s="785">
        <f t="shared" si="29"/>
        <v>1270939.6410256941</v>
      </c>
      <c r="F498" s="732">
        <f t="shared" si="25"/>
        <v>0</v>
      </c>
      <c r="G498" s="790">
        <f t="shared" si="26"/>
        <v>1344431.8272279848</v>
      </c>
      <c r="H498" s="791">
        <f t="shared" si="27"/>
        <v>1344431.8272279848</v>
      </c>
      <c r="I498" s="788">
        <f t="shared" si="28"/>
        <v>0</v>
      </c>
      <c r="J498" s="788"/>
      <c r="K498" s="808"/>
      <c r="L498" s="792"/>
      <c r="M498" s="808"/>
      <c r="N498" s="792"/>
      <c r="O498" s="792"/>
    </row>
    <row r="499" spans="3:15">
      <c r="C499" s="784">
        <f>IF(D453="","-",+C498+1)</f>
        <v>2056</v>
      </c>
      <c r="D499" s="732">
        <f t="shared" si="24"/>
        <v>0</v>
      </c>
      <c r="E499" s="785">
        <f t="shared" si="29"/>
        <v>0</v>
      </c>
      <c r="F499" s="732">
        <f t="shared" si="25"/>
        <v>0</v>
      </c>
      <c r="G499" s="790">
        <f t="shared" si="26"/>
        <v>0</v>
      </c>
      <c r="H499" s="791">
        <f t="shared" si="27"/>
        <v>0</v>
      </c>
      <c r="I499" s="788">
        <f t="shared" si="28"/>
        <v>0</v>
      </c>
      <c r="J499" s="788"/>
      <c r="K499" s="808"/>
      <c r="L499" s="792"/>
      <c r="M499" s="808"/>
      <c r="N499" s="792"/>
      <c r="O499" s="792"/>
    </row>
    <row r="500" spans="3:15">
      <c r="C500" s="784">
        <f>IF(D453="","-",+C499+1)</f>
        <v>2057</v>
      </c>
      <c r="D500" s="732">
        <f t="shared" si="24"/>
        <v>0</v>
      </c>
      <c r="E500" s="785">
        <f t="shared" si="29"/>
        <v>0</v>
      </c>
      <c r="F500" s="732">
        <f t="shared" si="25"/>
        <v>0</v>
      </c>
      <c r="G500" s="790">
        <f t="shared" si="26"/>
        <v>0</v>
      </c>
      <c r="H500" s="791">
        <f t="shared" si="27"/>
        <v>0</v>
      </c>
      <c r="I500" s="788">
        <f t="shared" si="28"/>
        <v>0</v>
      </c>
      <c r="J500" s="788"/>
      <c r="K500" s="808"/>
      <c r="L500" s="792"/>
      <c r="M500" s="808"/>
      <c r="N500" s="792"/>
      <c r="O500" s="792"/>
    </row>
    <row r="501" spans="3:15">
      <c r="C501" s="784">
        <f>IF(D453="","-",+C500+1)</f>
        <v>2058</v>
      </c>
      <c r="D501" s="732">
        <f t="shared" si="24"/>
        <v>0</v>
      </c>
      <c r="E501" s="785">
        <f t="shared" si="29"/>
        <v>0</v>
      </c>
      <c r="F501" s="732">
        <f t="shared" si="25"/>
        <v>0</v>
      </c>
      <c r="G501" s="790">
        <f t="shared" si="26"/>
        <v>0</v>
      </c>
      <c r="H501" s="791">
        <f t="shared" si="27"/>
        <v>0</v>
      </c>
      <c r="I501" s="788">
        <f t="shared" si="28"/>
        <v>0</v>
      </c>
      <c r="J501" s="788"/>
      <c r="K501" s="808"/>
      <c r="L501" s="792"/>
      <c r="M501" s="808"/>
      <c r="N501" s="792"/>
      <c r="O501" s="792"/>
    </row>
    <row r="502" spans="3:15">
      <c r="C502" s="784">
        <f>IF(D453="","-",+C501+1)</f>
        <v>2059</v>
      </c>
      <c r="D502" s="732">
        <f t="shared" si="24"/>
        <v>0</v>
      </c>
      <c r="E502" s="785">
        <f t="shared" si="29"/>
        <v>0</v>
      </c>
      <c r="F502" s="732">
        <f t="shared" si="25"/>
        <v>0</v>
      </c>
      <c r="G502" s="790">
        <f t="shared" si="26"/>
        <v>0</v>
      </c>
      <c r="H502" s="791">
        <f t="shared" si="27"/>
        <v>0</v>
      </c>
      <c r="I502" s="788">
        <f t="shared" si="28"/>
        <v>0</v>
      </c>
      <c r="J502" s="788"/>
      <c r="K502" s="808"/>
      <c r="L502" s="792"/>
      <c r="M502" s="808"/>
      <c r="N502" s="792"/>
      <c r="O502" s="792"/>
    </row>
    <row r="503" spans="3:15">
      <c r="C503" s="784">
        <f>IF(D453="","-",+C502+1)</f>
        <v>2060</v>
      </c>
      <c r="D503" s="732">
        <f t="shared" si="24"/>
        <v>0</v>
      </c>
      <c r="E503" s="785">
        <f t="shared" si="29"/>
        <v>0</v>
      </c>
      <c r="F503" s="732">
        <f t="shared" si="25"/>
        <v>0</v>
      </c>
      <c r="G503" s="790">
        <f t="shared" si="26"/>
        <v>0</v>
      </c>
      <c r="H503" s="791">
        <f t="shared" si="27"/>
        <v>0</v>
      </c>
      <c r="I503" s="788">
        <f t="shared" si="28"/>
        <v>0</v>
      </c>
      <c r="J503" s="788"/>
      <c r="K503" s="808"/>
      <c r="L503" s="792"/>
      <c r="M503" s="808"/>
      <c r="N503" s="792"/>
      <c r="O503" s="792"/>
    </row>
    <row r="504" spans="3:15">
      <c r="C504" s="784">
        <f>IF(D453="","-",+C503+1)</f>
        <v>2061</v>
      </c>
      <c r="D504" s="732">
        <f t="shared" si="24"/>
        <v>0</v>
      </c>
      <c r="E504" s="785">
        <f t="shared" si="29"/>
        <v>0</v>
      </c>
      <c r="F504" s="732">
        <f t="shared" si="25"/>
        <v>0</v>
      </c>
      <c r="G504" s="790">
        <f t="shared" si="26"/>
        <v>0</v>
      </c>
      <c r="H504" s="791">
        <f t="shared" si="27"/>
        <v>0</v>
      </c>
      <c r="I504" s="788">
        <f t="shared" si="28"/>
        <v>0</v>
      </c>
      <c r="J504" s="788"/>
      <c r="K504" s="808"/>
      <c r="L504" s="792"/>
      <c r="M504" s="808"/>
      <c r="N504" s="792"/>
      <c r="O504" s="792"/>
    </row>
    <row r="505" spans="3:15">
      <c r="C505" s="784">
        <f>IF(D453="","-",+C504+1)</f>
        <v>2062</v>
      </c>
      <c r="D505" s="732">
        <f t="shared" si="24"/>
        <v>0</v>
      </c>
      <c r="E505" s="785">
        <f t="shared" si="29"/>
        <v>0</v>
      </c>
      <c r="F505" s="732">
        <f t="shared" si="25"/>
        <v>0</v>
      </c>
      <c r="G505" s="790">
        <f t="shared" si="26"/>
        <v>0</v>
      </c>
      <c r="H505" s="791">
        <f t="shared" si="27"/>
        <v>0</v>
      </c>
      <c r="I505" s="788">
        <f t="shared" si="28"/>
        <v>0</v>
      </c>
      <c r="J505" s="788"/>
      <c r="K505" s="808"/>
      <c r="L505" s="792"/>
      <c r="M505" s="808"/>
      <c r="N505" s="792"/>
      <c r="O505" s="792"/>
    </row>
    <row r="506" spans="3:15">
      <c r="C506" s="784">
        <f>IF(D453="","-",+C505+1)</f>
        <v>2063</v>
      </c>
      <c r="D506" s="732">
        <f t="shared" si="24"/>
        <v>0</v>
      </c>
      <c r="E506" s="785">
        <f t="shared" si="29"/>
        <v>0</v>
      </c>
      <c r="F506" s="732">
        <f t="shared" si="25"/>
        <v>0</v>
      </c>
      <c r="G506" s="790">
        <f t="shared" si="26"/>
        <v>0</v>
      </c>
      <c r="H506" s="791">
        <f t="shared" si="27"/>
        <v>0</v>
      </c>
      <c r="I506" s="788">
        <f t="shared" si="28"/>
        <v>0</v>
      </c>
      <c r="J506" s="788"/>
      <c r="K506" s="808"/>
      <c r="L506" s="792"/>
      <c r="M506" s="808"/>
      <c r="N506" s="792"/>
      <c r="O506" s="792"/>
    </row>
    <row r="507" spans="3:15">
      <c r="C507" s="784">
        <f>IF(D453="","-",+C506+1)</f>
        <v>2064</v>
      </c>
      <c r="D507" s="732">
        <f t="shared" si="24"/>
        <v>0</v>
      </c>
      <c r="E507" s="785">
        <f t="shared" si="29"/>
        <v>0</v>
      </c>
      <c r="F507" s="732">
        <f t="shared" si="25"/>
        <v>0</v>
      </c>
      <c r="G507" s="790">
        <f t="shared" si="26"/>
        <v>0</v>
      </c>
      <c r="H507" s="791">
        <f t="shared" si="27"/>
        <v>0</v>
      </c>
      <c r="I507" s="788">
        <f t="shared" si="28"/>
        <v>0</v>
      </c>
      <c r="J507" s="788"/>
      <c r="K507" s="808"/>
      <c r="L507" s="792"/>
      <c r="M507" s="808"/>
      <c r="N507" s="792"/>
      <c r="O507" s="792"/>
    </row>
    <row r="508" spans="3:15">
      <c r="C508" s="784">
        <f>IF(D453="","-",+C507+1)</f>
        <v>2065</v>
      </c>
      <c r="D508" s="732">
        <f t="shared" si="24"/>
        <v>0</v>
      </c>
      <c r="E508" s="785">
        <f t="shared" si="29"/>
        <v>0</v>
      </c>
      <c r="F508" s="732">
        <f t="shared" si="25"/>
        <v>0</v>
      </c>
      <c r="G508" s="790">
        <f t="shared" si="26"/>
        <v>0</v>
      </c>
      <c r="H508" s="791">
        <f t="shared" si="27"/>
        <v>0</v>
      </c>
      <c r="I508" s="788">
        <f t="shared" si="28"/>
        <v>0</v>
      </c>
      <c r="J508" s="788"/>
      <c r="K508" s="808"/>
      <c r="L508" s="792"/>
      <c r="M508" s="808"/>
      <c r="N508" s="792"/>
      <c r="O508" s="792"/>
    </row>
    <row r="509" spans="3:15">
      <c r="C509" s="784">
        <f>IF(D453="","-",+C508+1)</f>
        <v>2066</v>
      </c>
      <c r="D509" s="732">
        <f t="shared" si="24"/>
        <v>0</v>
      </c>
      <c r="E509" s="785">
        <f t="shared" si="29"/>
        <v>0</v>
      </c>
      <c r="F509" s="732">
        <f t="shared" si="25"/>
        <v>0</v>
      </c>
      <c r="G509" s="790">
        <f t="shared" si="26"/>
        <v>0</v>
      </c>
      <c r="H509" s="791">
        <f t="shared" si="27"/>
        <v>0</v>
      </c>
      <c r="I509" s="788">
        <f t="shared" si="28"/>
        <v>0</v>
      </c>
      <c r="J509" s="788"/>
      <c r="K509" s="808"/>
      <c r="L509" s="792"/>
      <c r="M509" s="808"/>
      <c r="N509" s="792"/>
      <c r="O509" s="792"/>
    </row>
    <row r="510" spans="3:15">
      <c r="C510" s="784">
        <f>IF(D453="","-",+C509+1)</f>
        <v>2067</v>
      </c>
      <c r="D510" s="732">
        <f t="shared" si="24"/>
        <v>0</v>
      </c>
      <c r="E510" s="785">
        <f t="shared" si="29"/>
        <v>0</v>
      </c>
      <c r="F510" s="732">
        <f t="shared" si="25"/>
        <v>0</v>
      </c>
      <c r="G510" s="790">
        <f t="shared" si="26"/>
        <v>0</v>
      </c>
      <c r="H510" s="791">
        <f t="shared" si="27"/>
        <v>0</v>
      </c>
      <c r="I510" s="788">
        <f t="shared" si="28"/>
        <v>0</v>
      </c>
      <c r="J510" s="788"/>
      <c r="K510" s="808"/>
      <c r="L510" s="792"/>
      <c r="M510" s="808"/>
      <c r="N510" s="792"/>
      <c r="O510" s="792"/>
    </row>
    <row r="511" spans="3:15">
      <c r="C511" s="784">
        <f>IF(D453="","-",+C510+1)</f>
        <v>2068</v>
      </c>
      <c r="D511" s="732">
        <f t="shared" si="24"/>
        <v>0</v>
      </c>
      <c r="E511" s="785">
        <f t="shared" si="29"/>
        <v>0</v>
      </c>
      <c r="F511" s="732">
        <f t="shared" si="25"/>
        <v>0</v>
      </c>
      <c r="G511" s="790">
        <f t="shared" si="26"/>
        <v>0</v>
      </c>
      <c r="H511" s="791">
        <f t="shared" si="27"/>
        <v>0</v>
      </c>
      <c r="I511" s="788">
        <f t="shared" si="28"/>
        <v>0</v>
      </c>
      <c r="J511" s="788"/>
      <c r="K511" s="808"/>
      <c r="L511" s="792"/>
      <c r="M511" s="808"/>
      <c r="N511" s="792"/>
      <c r="O511" s="792"/>
    </row>
    <row r="512" spans="3:15">
      <c r="C512" s="784">
        <f>IF(D453="","-",+C511+1)</f>
        <v>2069</v>
      </c>
      <c r="D512" s="732">
        <f t="shared" si="24"/>
        <v>0</v>
      </c>
      <c r="E512" s="785">
        <f t="shared" si="29"/>
        <v>0</v>
      </c>
      <c r="F512" s="732">
        <f t="shared" si="25"/>
        <v>0</v>
      </c>
      <c r="G512" s="790">
        <f t="shared" si="26"/>
        <v>0</v>
      </c>
      <c r="H512" s="791">
        <f t="shared" si="27"/>
        <v>0</v>
      </c>
      <c r="I512" s="788">
        <f t="shared" si="28"/>
        <v>0</v>
      </c>
      <c r="J512" s="788"/>
      <c r="K512" s="808"/>
      <c r="L512" s="792"/>
      <c r="M512" s="808"/>
      <c r="N512" s="792"/>
      <c r="O512" s="792"/>
    </row>
    <row r="513" spans="3:15">
      <c r="C513" s="784">
        <f>IF(D453="","-",+C512+1)</f>
        <v>2070</v>
      </c>
      <c r="D513" s="732">
        <f t="shared" si="24"/>
        <v>0</v>
      </c>
      <c r="E513" s="785">
        <f t="shared" si="29"/>
        <v>0</v>
      </c>
      <c r="F513" s="732">
        <f t="shared" si="25"/>
        <v>0</v>
      </c>
      <c r="G513" s="790">
        <f t="shared" si="26"/>
        <v>0</v>
      </c>
      <c r="H513" s="791">
        <f t="shared" si="27"/>
        <v>0</v>
      </c>
      <c r="I513" s="788">
        <f t="shared" si="28"/>
        <v>0</v>
      </c>
      <c r="J513" s="788"/>
      <c r="K513" s="808"/>
      <c r="L513" s="792"/>
      <c r="M513" s="808"/>
      <c r="N513" s="792"/>
      <c r="O513" s="792"/>
    </row>
    <row r="514" spans="3:15">
      <c r="C514" s="784">
        <f>IF(D453="","-",+C513+1)</f>
        <v>2071</v>
      </c>
      <c r="D514" s="732">
        <f t="shared" si="24"/>
        <v>0</v>
      </c>
      <c r="E514" s="785">
        <f t="shared" si="29"/>
        <v>0</v>
      </c>
      <c r="F514" s="732">
        <f t="shared" si="25"/>
        <v>0</v>
      </c>
      <c r="G514" s="790">
        <f t="shared" si="26"/>
        <v>0</v>
      </c>
      <c r="H514" s="791">
        <f t="shared" si="27"/>
        <v>0</v>
      </c>
      <c r="I514" s="788">
        <f t="shared" si="28"/>
        <v>0</v>
      </c>
      <c r="J514" s="788"/>
      <c r="K514" s="808"/>
      <c r="L514" s="792"/>
      <c r="M514" s="808"/>
      <c r="N514" s="792"/>
      <c r="O514" s="792"/>
    </row>
    <row r="515" spans="3:15">
      <c r="C515" s="784">
        <f>IF(D453="","-",+C514+1)</f>
        <v>2072</v>
      </c>
      <c r="D515" s="732">
        <f t="shared" si="24"/>
        <v>0</v>
      </c>
      <c r="E515" s="785">
        <f t="shared" si="29"/>
        <v>0</v>
      </c>
      <c r="F515" s="732">
        <f t="shared" si="25"/>
        <v>0</v>
      </c>
      <c r="G515" s="790">
        <f t="shared" si="26"/>
        <v>0</v>
      </c>
      <c r="H515" s="791">
        <f t="shared" si="27"/>
        <v>0</v>
      </c>
      <c r="I515" s="788">
        <f t="shared" si="28"/>
        <v>0</v>
      </c>
      <c r="J515" s="788"/>
      <c r="K515" s="808"/>
      <c r="L515" s="792"/>
      <c r="M515" s="808"/>
      <c r="N515" s="792"/>
      <c r="O515" s="792"/>
    </row>
    <row r="516" spans="3:15">
      <c r="C516" s="784">
        <f>IF(D453="","-",+C515+1)</f>
        <v>2073</v>
      </c>
      <c r="D516" s="732">
        <f t="shared" si="24"/>
        <v>0</v>
      </c>
      <c r="E516" s="785">
        <f t="shared" si="29"/>
        <v>0</v>
      </c>
      <c r="F516" s="732">
        <f t="shared" si="25"/>
        <v>0</v>
      </c>
      <c r="G516" s="790">
        <f t="shared" si="26"/>
        <v>0</v>
      </c>
      <c r="H516" s="791">
        <f t="shared" si="27"/>
        <v>0</v>
      </c>
      <c r="I516" s="788">
        <f t="shared" si="28"/>
        <v>0</v>
      </c>
      <c r="J516" s="788"/>
      <c r="K516" s="808"/>
      <c r="L516" s="792"/>
      <c r="M516" s="808"/>
      <c r="N516" s="792"/>
      <c r="O516" s="792"/>
    </row>
    <row r="517" spans="3:15">
      <c r="C517" s="784">
        <f>IF(D453="","-",+C516+1)</f>
        <v>2074</v>
      </c>
      <c r="D517" s="732">
        <f t="shared" si="24"/>
        <v>0</v>
      </c>
      <c r="E517" s="785">
        <f t="shared" si="29"/>
        <v>0</v>
      </c>
      <c r="F517" s="732">
        <f t="shared" si="25"/>
        <v>0</v>
      </c>
      <c r="G517" s="790">
        <f t="shared" si="26"/>
        <v>0</v>
      </c>
      <c r="H517" s="791">
        <f t="shared" si="27"/>
        <v>0</v>
      </c>
      <c r="I517" s="788">
        <f t="shared" si="28"/>
        <v>0</v>
      </c>
      <c r="J517" s="788"/>
      <c r="K517" s="808"/>
      <c r="L517" s="792"/>
      <c r="M517" s="808"/>
      <c r="N517" s="792"/>
      <c r="O517" s="792"/>
    </row>
    <row r="518" spans="3:15" ht="13.5" thickBot="1">
      <c r="C518" s="794">
        <f>IF(D453="","-",+C517+1)</f>
        <v>2075</v>
      </c>
      <c r="D518" s="795">
        <f t="shared" si="24"/>
        <v>0</v>
      </c>
      <c r="E518" s="796">
        <f t="shared" si="29"/>
        <v>0</v>
      </c>
      <c r="F518" s="795">
        <f t="shared" si="25"/>
        <v>0</v>
      </c>
      <c r="G518" s="797">
        <f t="shared" si="26"/>
        <v>0</v>
      </c>
      <c r="H518" s="797">
        <f t="shared" si="27"/>
        <v>0</v>
      </c>
      <c r="I518" s="798">
        <f t="shared" si="28"/>
        <v>0</v>
      </c>
      <c r="J518" s="788"/>
      <c r="K518" s="809"/>
      <c r="L518" s="799"/>
      <c r="M518" s="809"/>
      <c r="N518" s="799"/>
      <c r="O518" s="799"/>
    </row>
    <row r="519" spans="3:15">
      <c r="C519" s="732" t="s">
        <v>93</v>
      </c>
      <c r="D519" s="726"/>
      <c r="E519" s="726">
        <f>SUM(E459:E518)</f>
        <v>99133292</v>
      </c>
      <c r="F519" s="726"/>
      <c r="G519" s="726">
        <f>SUM(G459:G518)</f>
        <v>328428912.95113695</v>
      </c>
      <c r="H519" s="726">
        <f>SUM(H459:H518)</f>
        <v>328428912.95113695</v>
      </c>
      <c r="I519" s="726">
        <f>SUM(I459:I518)</f>
        <v>0</v>
      </c>
      <c r="J519" s="726"/>
      <c r="K519" s="726"/>
      <c r="L519" s="726"/>
      <c r="M519" s="726"/>
      <c r="N519" s="726"/>
      <c r="O519" s="313"/>
    </row>
    <row r="520" spans="3:15">
      <c r="D520" s="534"/>
      <c r="E520" s="313"/>
      <c r="F520" s="313"/>
      <c r="G520" s="313"/>
      <c r="H520" s="704"/>
      <c r="I520" s="704"/>
      <c r="J520" s="726"/>
      <c r="K520" s="704"/>
      <c r="L520" s="704"/>
      <c r="M520" s="704"/>
      <c r="N520" s="704"/>
      <c r="O520" s="313"/>
    </row>
    <row r="521" spans="3:15">
      <c r="C521" s="313" t="s">
        <v>15</v>
      </c>
      <c r="D521" s="534"/>
      <c r="E521" s="313"/>
      <c r="F521" s="313"/>
      <c r="G521" s="313"/>
      <c r="H521" s="704"/>
      <c r="I521" s="704"/>
      <c r="J521" s="726"/>
      <c r="K521" s="704"/>
      <c r="L521" s="704"/>
      <c r="M521" s="704"/>
      <c r="N521" s="704"/>
      <c r="O521" s="313"/>
    </row>
    <row r="522" spans="3:15">
      <c r="C522" s="313"/>
      <c r="D522" s="534"/>
      <c r="E522" s="313"/>
      <c r="F522" s="313"/>
      <c r="G522" s="313"/>
      <c r="H522" s="704"/>
      <c r="I522" s="704"/>
      <c r="J522" s="726"/>
      <c r="K522" s="704"/>
      <c r="L522" s="704"/>
      <c r="M522" s="704"/>
      <c r="N522" s="704"/>
      <c r="O522" s="313"/>
    </row>
    <row r="523" spans="3:15">
      <c r="C523" s="745" t="s">
        <v>16</v>
      </c>
      <c r="D523" s="732"/>
      <c r="E523" s="732"/>
      <c r="F523" s="732"/>
      <c r="G523" s="726"/>
      <c r="H523" s="726"/>
      <c r="I523" s="800"/>
      <c r="J523" s="800"/>
      <c r="K523" s="800"/>
      <c r="L523" s="800"/>
      <c r="M523" s="800"/>
      <c r="N523" s="800"/>
      <c r="O523" s="313"/>
    </row>
    <row r="524" spans="3:15">
      <c r="C524" s="731" t="s">
        <v>273</v>
      </c>
      <c r="D524" s="732"/>
      <c r="E524" s="732"/>
      <c r="F524" s="732"/>
      <c r="G524" s="726"/>
      <c r="H524" s="726"/>
      <c r="I524" s="800"/>
      <c r="J524" s="800"/>
      <c r="K524" s="800"/>
      <c r="L524" s="800"/>
      <c r="M524" s="800"/>
      <c r="N524" s="800"/>
      <c r="O524" s="313"/>
    </row>
    <row r="525" spans="3:15">
      <c r="C525" s="731" t="s">
        <v>94</v>
      </c>
      <c r="D525" s="732"/>
      <c r="E525" s="732"/>
      <c r="F525" s="732"/>
      <c r="G525" s="726"/>
      <c r="H525" s="726"/>
      <c r="I525" s="800"/>
      <c r="J525" s="800"/>
      <c r="K525" s="800"/>
      <c r="L525" s="800"/>
      <c r="M525" s="800"/>
      <c r="N525" s="800"/>
      <c r="O525" s="313"/>
    </row>
    <row r="526" spans="3:15">
      <c r="C526" s="731"/>
      <c r="D526" s="732"/>
      <c r="E526" s="732"/>
      <c r="F526" s="732"/>
      <c r="G526" s="726"/>
      <c r="H526" s="726"/>
      <c r="I526" s="800"/>
      <c r="J526" s="800"/>
      <c r="K526" s="800"/>
      <c r="L526" s="800"/>
      <c r="M526" s="800"/>
      <c r="N526" s="800"/>
      <c r="O526" s="313"/>
    </row>
    <row r="527" spans="3:15">
      <c r="C527" s="1556" t="s">
        <v>8</v>
      </c>
      <c r="D527" s="1556"/>
      <c r="E527" s="1556"/>
      <c r="F527" s="1556"/>
      <c r="G527" s="1556"/>
      <c r="H527" s="1556"/>
      <c r="I527" s="1556"/>
      <c r="J527" s="1556"/>
      <c r="K527" s="1556"/>
      <c r="L527" s="1556"/>
      <c r="M527" s="1556"/>
      <c r="N527" s="1556"/>
      <c r="O527" s="1556"/>
    </row>
    <row r="528" spans="3:15">
      <c r="C528" s="1556"/>
      <c r="D528" s="1556"/>
      <c r="E528" s="1556"/>
      <c r="F528" s="1556"/>
      <c r="G528" s="1556"/>
      <c r="H528" s="1556"/>
      <c r="I528" s="1556"/>
      <c r="J528" s="1556"/>
      <c r="K528" s="1556"/>
      <c r="L528" s="1556"/>
      <c r="M528" s="1556"/>
      <c r="N528" s="1556"/>
      <c r="O528" s="1556"/>
    </row>
    <row r="529" spans="1:16" ht="20.25">
      <c r="A529" s="733" t="str">
        <f>""&amp;A453&amp;" Worksheet J -  ATRR PROJECTED Calculation for PJM Projects Charged to Benefiting Zones"</f>
        <v xml:space="preserve"> Worksheet J -  ATRR PROJECTED Calculation for PJM Projects Charged to Benefiting Zones</v>
      </c>
      <c r="B529" s="346"/>
      <c r="C529" s="721"/>
      <c r="D529" s="534"/>
      <c r="E529" s="313"/>
      <c r="F529" s="703"/>
      <c r="G529" s="313"/>
      <c r="H529" s="704"/>
      <c r="K529" s="560"/>
      <c r="L529" s="560"/>
      <c r="M529" s="560"/>
      <c r="N529" s="649" t="str">
        <f>"Page "&amp;SUM(P$8:P529)&amp;" of "</f>
        <v xml:space="preserve">Page 7 of </v>
      </c>
      <c r="O529" s="650">
        <f>COUNT(P$8:P$56656)</f>
        <v>11</v>
      </c>
      <c r="P529" s="173">
        <v>1</v>
      </c>
    </row>
    <row r="530" spans="1:16" ht="20.25">
      <c r="A530" s="733"/>
      <c r="B530" s="346"/>
      <c r="C530" s="721"/>
      <c r="D530" s="534"/>
      <c r="E530" s="313"/>
      <c r="F530" s="703"/>
      <c r="G530" s="313"/>
      <c r="H530" s="704"/>
      <c r="K530" s="560"/>
      <c r="L530" s="560"/>
      <c r="M530" s="560"/>
      <c r="N530" s="649"/>
      <c r="O530" s="650"/>
    </row>
    <row r="531" spans="1:16" ht="18">
      <c r="B531" s="653" t="s">
        <v>474</v>
      </c>
      <c r="C531" s="735" t="s">
        <v>95</v>
      </c>
      <c r="D531" s="534"/>
      <c r="E531" s="313"/>
      <c r="F531" s="313"/>
      <c r="G531" s="313"/>
      <c r="H531" s="704"/>
      <c r="I531" s="704"/>
      <c r="J531" s="726"/>
      <c r="K531" s="704"/>
      <c r="L531" s="704"/>
      <c r="M531" s="704"/>
      <c r="N531" s="704"/>
      <c r="O531" s="313"/>
    </row>
    <row r="532" spans="1:16" ht="18.75">
      <c r="B532" s="653"/>
      <c r="C532" s="652"/>
      <c r="D532" s="534"/>
      <c r="E532" s="313"/>
      <c r="F532" s="313"/>
      <c r="G532" s="313"/>
      <c r="H532" s="704"/>
      <c r="I532" s="704"/>
      <c r="J532" s="726"/>
      <c r="K532" s="704"/>
      <c r="L532" s="704"/>
      <c r="M532" s="704"/>
      <c r="N532" s="704"/>
      <c r="O532" s="313"/>
    </row>
    <row r="533" spans="1:16" ht="18.75">
      <c r="B533" s="653"/>
      <c r="C533" s="652" t="s">
        <v>96</v>
      </c>
      <c r="D533" s="534"/>
      <c r="E533" s="313"/>
      <c r="F533" s="313"/>
      <c r="G533" s="313"/>
      <c r="H533" s="704"/>
      <c r="I533" s="704"/>
      <c r="J533" s="726"/>
      <c r="K533" s="704"/>
      <c r="L533" s="704"/>
      <c r="M533" s="704"/>
      <c r="N533" s="704"/>
      <c r="O533" s="313"/>
    </row>
    <row r="534" spans="1:16" ht="15.75" thickBot="1">
      <c r="C534" s="240"/>
      <c r="D534" s="534"/>
      <c r="E534" s="313"/>
      <c r="F534" s="313"/>
      <c r="G534" s="313"/>
      <c r="H534" s="704"/>
      <c r="I534" s="704"/>
      <c r="J534" s="726"/>
      <c r="K534" s="704"/>
      <c r="L534" s="704"/>
      <c r="M534" s="704"/>
      <c r="N534" s="704"/>
      <c r="O534" s="313"/>
    </row>
    <row r="535" spans="1:16" ht="15.75">
      <c r="C535" s="655" t="s">
        <v>97</v>
      </c>
      <c r="D535" s="534"/>
      <c r="E535" s="313"/>
      <c r="F535" s="313"/>
      <c r="G535" s="802"/>
      <c r="H535" s="313" t="s">
        <v>76</v>
      </c>
      <c r="I535" s="313"/>
      <c r="J535" s="423"/>
      <c r="K535" s="736" t="s">
        <v>101</v>
      </c>
      <c r="L535" s="737"/>
      <c r="M535" s="738"/>
      <c r="N535" s="739">
        <f>IF(I541=0,0,VLOOKUP(I541,C548:O607,5))</f>
        <v>6667905.5717323869</v>
      </c>
      <c r="O535" s="313"/>
    </row>
    <row r="536" spans="1:16" ht="15.75">
      <c r="C536" s="655"/>
      <c r="D536" s="534"/>
      <c r="E536" s="313"/>
      <c r="F536" s="313"/>
      <c r="G536" s="313"/>
      <c r="H536" s="740"/>
      <c r="I536" s="740"/>
      <c r="J536" s="741"/>
      <c r="K536" s="742" t="s">
        <v>102</v>
      </c>
      <c r="L536" s="743"/>
      <c r="M536" s="423"/>
      <c r="N536" s="744">
        <f>IF(I541=0,0,VLOOKUP(I541,C548:O607,6))</f>
        <v>6667905.5717323869</v>
      </c>
      <c r="O536" s="313"/>
    </row>
    <row r="537" spans="1:16" ht="13.5" thickBot="1">
      <c r="C537" s="745" t="s">
        <v>98</v>
      </c>
      <c r="D537" s="1557" t="s">
        <v>822</v>
      </c>
      <c r="E537" s="1557"/>
      <c r="F537" s="1557"/>
      <c r="G537" s="1557"/>
      <c r="H537" s="1557"/>
      <c r="I537" s="1557"/>
      <c r="J537" s="726"/>
      <c r="K537" s="746" t="s">
        <v>240</v>
      </c>
      <c r="L537" s="747"/>
      <c r="M537" s="747"/>
      <c r="N537" s="748">
        <f>+N536-N535</f>
        <v>0</v>
      </c>
      <c r="O537" s="313"/>
    </row>
    <row r="538" spans="1:16">
      <c r="C538" s="749"/>
      <c r="D538" s="1557"/>
      <c r="E538" s="1557"/>
      <c r="F538" s="1557"/>
      <c r="G538" s="1557"/>
      <c r="H538" s="1557"/>
      <c r="I538" s="1557"/>
      <c r="J538" s="726"/>
      <c r="K538" s="704"/>
      <c r="L538" s="704"/>
      <c r="M538" s="704"/>
      <c r="N538" s="704"/>
      <c r="O538" s="313"/>
    </row>
    <row r="539" spans="1:16" ht="13.5" thickBot="1">
      <c r="C539" s="752"/>
      <c r="D539" s="753"/>
      <c r="E539" s="751"/>
      <c r="F539" s="751"/>
      <c r="G539" s="751"/>
      <c r="H539" s="751"/>
      <c r="I539" s="751"/>
      <c r="J539" s="754"/>
      <c r="K539" s="751"/>
      <c r="L539" s="751"/>
      <c r="M539" s="751"/>
      <c r="N539" s="751"/>
      <c r="O539" s="346"/>
    </row>
    <row r="540" spans="1:16" ht="13.5" thickBot="1">
      <c r="C540" s="755" t="s">
        <v>99</v>
      </c>
      <c r="D540" s="756"/>
      <c r="E540" s="756"/>
      <c r="F540" s="756"/>
      <c r="G540" s="756"/>
      <c r="H540" s="756"/>
      <c r="I540" s="757"/>
      <c r="J540" s="758"/>
      <c r="K540" s="313"/>
      <c r="L540" s="313"/>
      <c r="M540" s="313"/>
      <c r="N540" s="313"/>
      <c r="O540" s="759"/>
    </row>
    <row r="541" spans="1:16" ht="15">
      <c r="C541" s="760" t="s">
        <v>77</v>
      </c>
      <c r="D541" s="804">
        <v>52114617</v>
      </c>
      <c r="E541" s="721" t="s">
        <v>78</v>
      </c>
      <c r="G541" s="761"/>
      <c r="H541" s="761"/>
      <c r="I541" s="762">
        <f>$L$26</f>
        <v>2021</v>
      </c>
      <c r="J541" s="550"/>
      <c r="K541" s="1558" t="s">
        <v>249</v>
      </c>
      <c r="L541" s="1558"/>
      <c r="M541" s="1558"/>
      <c r="N541" s="1558"/>
      <c r="O541" s="1558"/>
    </row>
    <row r="542" spans="1:16">
      <c r="C542" s="760" t="s">
        <v>80</v>
      </c>
      <c r="D542" s="805">
        <v>2016</v>
      </c>
      <c r="E542" s="760" t="s">
        <v>81</v>
      </c>
      <c r="F542" s="761"/>
      <c r="H542" s="173"/>
      <c r="I542" s="806">
        <f>IF(G535="",0,$F$17)</f>
        <v>0</v>
      </c>
      <c r="J542" s="763"/>
      <c r="K542" s="726" t="s">
        <v>249</v>
      </c>
    </row>
    <row r="543" spans="1:16">
      <c r="C543" s="760" t="s">
        <v>82</v>
      </c>
      <c r="D543" s="804">
        <v>12</v>
      </c>
      <c r="E543" s="760" t="s">
        <v>83</v>
      </c>
      <c r="F543" s="761"/>
      <c r="H543" s="173"/>
      <c r="I543" s="764">
        <f>$G$70</f>
        <v>0.11565015966136639</v>
      </c>
      <c r="J543" s="765"/>
      <c r="K543" s="173" t="str">
        <f>"          INPUT PROJECTED ARR (WITH &amp; WITHOUT INCENTIVES) FROM EACH PRIOR YEAR"</f>
        <v xml:space="preserve">          INPUT PROJECTED ARR (WITH &amp; WITHOUT INCENTIVES) FROM EACH PRIOR YEAR</v>
      </c>
    </row>
    <row r="544" spans="1:16">
      <c r="C544" s="760" t="s">
        <v>84</v>
      </c>
      <c r="D544" s="766">
        <f>$G$79</f>
        <v>39</v>
      </c>
      <c r="E544" s="760" t="s">
        <v>85</v>
      </c>
      <c r="F544" s="761"/>
      <c r="H544" s="173"/>
      <c r="I544" s="764">
        <f>IF(G535="",I543,$G$69)</f>
        <v>0.11565015966136639</v>
      </c>
      <c r="J544" s="767"/>
      <c r="K544" s="173" t="s">
        <v>162</v>
      </c>
    </row>
    <row r="545" spans="2:15" ht="13.5" thickBot="1">
      <c r="C545" s="760" t="s">
        <v>86</v>
      </c>
      <c r="D545" s="803" t="s">
        <v>814</v>
      </c>
      <c r="E545" s="768" t="s">
        <v>87</v>
      </c>
      <c r="F545" s="769"/>
      <c r="G545" s="770"/>
      <c r="H545" s="770"/>
      <c r="I545" s="748">
        <f>IF(D541=0,0,D541/D544)</f>
        <v>1336272.2307692308</v>
      </c>
      <c r="J545" s="726"/>
      <c r="K545" s="726" t="s">
        <v>168</v>
      </c>
      <c r="L545" s="726"/>
      <c r="M545" s="726"/>
      <c r="N545" s="726"/>
      <c r="O545" s="423"/>
    </row>
    <row r="546" spans="2:15" ht="51">
      <c r="B546" s="841"/>
      <c r="C546" s="771" t="s">
        <v>77</v>
      </c>
      <c r="D546" s="772" t="s">
        <v>88</v>
      </c>
      <c r="E546" s="773" t="s">
        <v>89</v>
      </c>
      <c r="F546" s="772" t="s">
        <v>90</v>
      </c>
      <c r="G546" s="773" t="s">
        <v>161</v>
      </c>
      <c r="H546" s="774" t="s">
        <v>161</v>
      </c>
      <c r="I546" s="771" t="s">
        <v>100</v>
      </c>
      <c r="J546" s="775"/>
      <c r="K546" s="773" t="s">
        <v>170</v>
      </c>
      <c r="L546" s="776"/>
      <c r="M546" s="773" t="s">
        <v>170</v>
      </c>
      <c r="N546" s="776"/>
      <c r="O546" s="776"/>
    </row>
    <row r="547" spans="2:15" ht="13.5" thickBot="1">
      <c r="C547" s="777" t="s">
        <v>477</v>
      </c>
      <c r="D547" s="778" t="s">
        <v>478</v>
      </c>
      <c r="E547" s="777" t="s">
        <v>371</v>
      </c>
      <c r="F547" s="778" t="s">
        <v>478</v>
      </c>
      <c r="G547" s="779" t="s">
        <v>103</v>
      </c>
      <c r="H547" s="780" t="s">
        <v>105</v>
      </c>
      <c r="I547" s="781" t="s">
        <v>17</v>
      </c>
      <c r="J547" s="782"/>
      <c r="K547" s="779" t="s">
        <v>92</v>
      </c>
      <c r="L547" s="783"/>
      <c r="M547" s="779" t="s">
        <v>105</v>
      </c>
      <c r="N547" s="783"/>
      <c r="O547" s="783"/>
    </row>
    <row r="548" spans="2:15">
      <c r="C548" s="784">
        <f>IF(D542= "","-",D542)</f>
        <v>2016</v>
      </c>
      <c r="D548" s="732">
        <f>+D541</f>
        <v>52114617</v>
      </c>
      <c r="E548" s="785">
        <f>+I545/12*(12-D543)</f>
        <v>0</v>
      </c>
      <c r="F548" s="732">
        <f>+D548-E548</f>
        <v>52114617</v>
      </c>
      <c r="G548" s="993">
        <f>+$I$96*((D548+F548)/2)+E548</f>
        <v>6027063.7767409589</v>
      </c>
      <c r="H548" s="994">
        <f>$I$97*((D548+F548)/2)+E548</f>
        <v>6027063.7767409589</v>
      </c>
      <c r="I548" s="788">
        <f>+H548-G548</f>
        <v>0</v>
      </c>
      <c r="J548" s="788"/>
      <c r="K548" s="807">
        <v>5279934</v>
      </c>
      <c r="L548" s="789"/>
      <c r="M548" s="807">
        <v>5279934</v>
      </c>
      <c r="N548" s="789"/>
      <c r="O548" s="789"/>
    </row>
    <row r="549" spans="2:15">
      <c r="C549" s="784">
        <f>IF(D542="","-",+C548+1)</f>
        <v>2017</v>
      </c>
      <c r="D549" s="732">
        <f t="shared" ref="D549:D607" si="30">F548</f>
        <v>52114617</v>
      </c>
      <c r="E549" s="785">
        <f>IF(D549&gt;$I$545,$I$545,D549)</f>
        <v>1336272.2307692308</v>
      </c>
      <c r="F549" s="732">
        <f t="shared" ref="F549:F607" si="31">+D549-E549</f>
        <v>50778344.769230768</v>
      </c>
      <c r="G549" s="790">
        <f t="shared" ref="G549:G607" si="32">+$I$96*((D549+F549)/2)+E549</f>
        <v>7286065.959090434</v>
      </c>
      <c r="H549" s="791">
        <f t="shared" ref="H549:H607" si="33">$I$97*((D549+F549)/2)+E549</f>
        <v>7286065.959090434</v>
      </c>
      <c r="I549" s="788">
        <f t="shared" ref="I549:I607" si="34">+H549-G549</f>
        <v>0</v>
      </c>
      <c r="J549" s="788"/>
      <c r="K549" s="808">
        <v>5667478</v>
      </c>
      <c r="L549" s="792"/>
      <c r="M549" s="808">
        <v>5667478</v>
      </c>
      <c r="N549" s="792"/>
      <c r="O549" s="792"/>
    </row>
    <row r="550" spans="2:15">
      <c r="C550" s="1327">
        <f>IF(D542="","-",+C549+1)</f>
        <v>2018</v>
      </c>
      <c r="D550" s="732">
        <f t="shared" si="30"/>
        <v>50778344.769230768</v>
      </c>
      <c r="E550" s="785">
        <f t="shared" ref="E550:E607" si="35">IF(D550&gt;$I$545,$I$545,D550)</f>
        <v>1336272.2307692308</v>
      </c>
      <c r="F550" s="732">
        <f t="shared" si="31"/>
        <v>49442072.538461536</v>
      </c>
      <c r="G550" s="790">
        <f t="shared" si="32"/>
        <v>7131525.8622509222</v>
      </c>
      <c r="H550" s="791">
        <f t="shared" si="33"/>
        <v>7131525.8622509222</v>
      </c>
      <c r="I550" s="788">
        <f t="shared" si="34"/>
        <v>0</v>
      </c>
      <c r="J550" s="788"/>
      <c r="K550" s="808">
        <v>4860385</v>
      </c>
      <c r="L550" s="792"/>
      <c r="M550" s="808">
        <v>4860385</v>
      </c>
      <c r="N550" s="792"/>
      <c r="O550" s="792"/>
    </row>
    <row r="551" spans="2:15">
      <c r="C551" s="1304">
        <f>IF(D542="","-",+C550+1)</f>
        <v>2019</v>
      </c>
      <c r="D551" s="732">
        <f t="shared" si="30"/>
        <v>49442072.538461536</v>
      </c>
      <c r="E551" s="785">
        <f t="shared" si="35"/>
        <v>1336272.2307692308</v>
      </c>
      <c r="F551" s="732">
        <f t="shared" si="31"/>
        <v>48105800.307692304</v>
      </c>
      <c r="G551" s="790">
        <f t="shared" si="32"/>
        <v>6976985.7654114105</v>
      </c>
      <c r="H551" s="791">
        <f t="shared" si="33"/>
        <v>6976985.7654114105</v>
      </c>
      <c r="I551" s="788">
        <f t="shared" si="34"/>
        <v>0</v>
      </c>
      <c r="J551" s="788"/>
      <c r="K551" s="808"/>
      <c r="L551" s="792"/>
      <c r="M551" s="808"/>
      <c r="N551" s="792"/>
      <c r="O551" s="792"/>
    </row>
    <row r="552" spans="2:15">
      <c r="C552" s="1305">
        <f>IF(D542="","-",+C551+1)</f>
        <v>2020</v>
      </c>
      <c r="D552" s="732">
        <f t="shared" si="30"/>
        <v>48105800.307692304</v>
      </c>
      <c r="E552" s="785">
        <f t="shared" si="35"/>
        <v>1336272.2307692308</v>
      </c>
      <c r="F552" s="732">
        <f t="shared" si="31"/>
        <v>46769528.076923072</v>
      </c>
      <c r="G552" s="790">
        <f t="shared" si="32"/>
        <v>6822445.6685718987</v>
      </c>
      <c r="H552" s="791">
        <f t="shared" si="33"/>
        <v>6822445.6685718987</v>
      </c>
      <c r="I552" s="788">
        <f t="shared" si="34"/>
        <v>0</v>
      </c>
      <c r="J552" s="788"/>
      <c r="K552" s="808"/>
      <c r="L552" s="792"/>
      <c r="M552" s="808"/>
      <c r="N552" s="792"/>
      <c r="O552" s="792"/>
    </row>
    <row r="553" spans="2:15">
      <c r="C553" s="1305">
        <f>IF(D542="","-",+C552+1)</f>
        <v>2021</v>
      </c>
      <c r="D553" s="732">
        <f t="shared" si="30"/>
        <v>46769528.076923072</v>
      </c>
      <c r="E553" s="785">
        <f t="shared" si="35"/>
        <v>1336272.2307692308</v>
      </c>
      <c r="F553" s="732">
        <f t="shared" si="31"/>
        <v>45433255.84615384</v>
      </c>
      <c r="G553" s="790">
        <f t="shared" si="32"/>
        <v>6667905.5717323869</v>
      </c>
      <c r="H553" s="791">
        <f t="shared" si="33"/>
        <v>6667905.5717323869</v>
      </c>
      <c r="I553" s="788">
        <f t="shared" si="34"/>
        <v>0</v>
      </c>
      <c r="J553" s="788"/>
      <c r="K553" s="808"/>
      <c r="L553" s="792"/>
      <c r="M553" s="808"/>
      <c r="N553" s="792"/>
      <c r="O553" s="792"/>
    </row>
    <row r="554" spans="2:15">
      <c r="C554" s="784">
        <f>IF(D542="","-",+C553+1)</f>
        <v>2022</v>
      </c>
      <c r="D554" s="732">
        <f t="shared" si="30"/>
        <v>45433255.84615384</v>
      </c>
      <c r="E554" s="785">
        <f t="shared" si="35"/>
        <v>1336272.2307692308</v>
      </c>
      <c r="F554" s="732">
        <f t="shared" si="31"/>
        <v>44096983.615384609</v>
      </c>
      <c r="G554" s="790">
        <f t="shared" si="32"/>
        <v>6513365.4748928752</v>
      </c>
      <c r="H554" s="791">
        <f t="shared" si="33"/>
        <v>6513365.4748928752</v>
      </c>
      <c r="I554" s="788">
        <f t="shared" si="34"/>
        <v>0</v>
      </c>
      <c r="J554" s="788"/>
      <c r="K554" s="808"/>
      <c r="L554" s="792"/>
      <c r="M554" s="808"/>
      <c r="N554" s="792"/>
      <c r="O554" s="792"/>
    </row>
    <row r="555" spans="2:15">
      <c r="C555" s="784">
        <f>IF(D542="","-",+C554+1)</f>
        <v>2023</v>
      </c>
      <c r="D555" s="732">
        <f t="shared" si="30"/>
        <v>44096983.615384609</v>
      </c>
      <c r="E555" s="785">
        <f t="shared" si="35"/>
        <v>1336272.2307692308</v>
      </c>
      <c r="F555" s="732">
        <f t="shared" si="31"/>
        <v>42760711.384615377</v>
      </c>
      <c r="G555" s="790">
        <f t="shared" si="32"/>
        <v>6358825.3780533625</v>
      </c>
      <c r="H555" s="791">
        <f t="shared" si="33"/>
        <v>6358825.3780533625</v>
      </c>
      <c r="I555" s="788">
        <f t="shared" si="34"/>
        <v>0</v>
      </c>
      <c r="J555" s="788"/>
      <c r="K555" s="808"/>
      <c r="L555" s="792"/>
      <c r="M555" s="808"/>
      <c r="N555" s="792"/>
      <c r="O555" s="792"/>
    </row>
    <row r="556" spans="2:15">
      <c r="C556" s="784">
        <f>IF(D542="","-",+C555+1)</f>
        <v>2024</v>
      </c>
      <c r="D556" s="732">
        <f t="shared" si="30"/>
        <v>42760711.384615377</v>
      </c>
      <c r="E556" s="785">
        <f t="shared" si="35"/>
        <v>1336272.2307692308</v>
      </c>
      <c r="F556" s="732">
        <f t="shared" si="31"/>
        <v>41424439.153846145</v>
      </c>
      <c r="G556" s="790">
        <f t="shared" si="32"/>
        <v>6204285.2812138507</v>
      </c>
      <c r="H556" s="791">
        <f t="shared" si="33"/>
        <v>6204285.2812138507</v>
      </c>
      <c r="I556" s="788">
        <f t="shared" si="34"/>
        <v>0</v>
      </c>
      <c r="J556" s="788"/>
      <c r="K556" s="808"/>
      <c r="L556" s="792"/>
      <c r="M556" s="808"/>
      <c r="N556" s="792"/>
      <c r="O556" s="792"/>
    </row>
    <row r="557" spans="2:15">
      <c r="C557" s="784">
        <f>IF(D542="","-",+C556+1)</f>
        <v>2025</v>
      </c>
      <c r="D557" s="732">
        <f t="shared" si="30"/>
        <v>41424439.153846145</v>
      </c>
      <c r="E557" s="785">
        <f t="shared" si="35"/>
        <v>1336272.2307692308</v>
      </c>
      <c r="F557" s="732">
        <f t="shared" si="31"/>
        <v>40088166.923076913</v>
      </c>
      <c r="G557" s="790">
        <f t="shared" si="32"/>
        <v>6049745.1843743389</v>
      </c>
      <c r="H557" s="791">
        <f t="shared" si="33"/>
        <v>6049745.1843743389</v>
      </c>
      <c r="I557" s="788">
        <f t="shared" si="34"/>
        <v>0</v>
      </c>
      <c r="J557" s="788"/>
      <c r="K557" s="808"/>
      <c r="L557" s="792"/>
      <c r="M557" s="808"/>
      <c r="N557" s="792"/>
      <c r="O557" s="792"/>
    </row>
    <row r="558" spans="2:15">
      <c r="C558" s="784">
        <f>IF(D542="","-",+C557+1)</f>
        <v>2026</v>
      </c>
      <c r="D558" s="732">
        <f t="shared" si="30"/>
        <v>40088166.923076913</v>
      </c>
      <c r="E558" s="785">
        <f t="shared" si="35"/>
        <v>1336272.2307692308</v>
      </c>
      <c r="F558" s="732">
        <f t="shared" si="31"/>
        <v>38751894.692307681</v>
      </c>
      <c r="G558" s="790">
        <f t="shared" si="32"/>
        <v>5895205.0875348272</v>
      </c>
      <c r="H558" s="791">
        <f t="shared" si="33"/>
        <v>5895205.0875348272</v>
      </c>
      <c r="I558" s="788">
        <f t="shared" si="34"/>
        <v>0</v>
      </c>
      <c r="J558" s="788"/>
      <c r="K558" s="808"/>
      <c r="L558" s="792"/>
      <c r="M558" s="808"/>
      <c r="N558" s="792"/>
      <c r="O558" s="792"/>
    </row>
    <row r="559" spans="2:15">
      <c r="C559" s="784">
        <f>IF(D542="","-",+C558+1)</f>
        <v>2027</v>
      </c>
      <c r="D559" s="732">
        <f t="shared" si="30"/>
        <v>38751894.692307681</v>
      </c>
      <c r="E559" s="785">
        <f t="shared" si="35"/>
        <v>1336272.2307692308</v>
      </c>
      <c r="F559" s="732">
        <f t="shared" si="31"/>
        <v>37415622.461538449</v>
      </c>
      <c r="G559" s="790">
        <f t="shared" si="32"/>
        <v>5740664.9906953154</v>
      </c>
      <c r="H559" s="791">
        <f t="shared" si="33"/>
        <v>5740664.9906953154</v>
      </c>
      <c r="I559" s="788">
        <f t="shared" si="34"/>
        <v>0</v>
      </c>
      <c r="J559" s="788"/>
      <c r="K559" s="808"/>
      <c r="L559" s="792"/>
      <c r="M559" s="808"/>
      <c r="N559" s="792"/>
      <c r="O559" s="792"/>
    </row>
    <row r="560" spans="2:15">
      <c r="C560" s="784">
        <f>IF(D542="","-",+C559+1)</f>
        <v>2028</v>
      </c>
      <c r="D560" s="732">
        <f t="shared" si="30"/>
        <v>37415622.461538449</v>
      </c>
      <c r="E560" s="785">
        <f t="shared" si="35"/>
        <v>1336272.2307692308</v>
      </c>
      <c r="F560" s="732">
        <f t="shared" si="31"/>
        <v>36079350.230769217</v>
      </c>
      <c r="G560" s="790">
        <f t="shared" si="32"/>
        <v>5586124.8938558036</v>
      </c>
      <c r="H560" s="791">
        <f t="shared" si="33"/>
        <v>5586124.8938558036</v>
      </c>
      <c r="I560" s="788">
        <f t="shared" si="34"/>
        <v>0</v>
      </c>
      <c r="J560" s="788"/>
      <c r="K560" s="808"/>
      <c r="L560" s="792"/>
      <c r="M560" s="808"/>
      <c r="N560" s="793"/>
      <c r="O560" s="792"/>
    </row>
    <row r="561" spans="3:15">
      <c r="C561" s="784">
        <f>IF(D542="","-",+C560+1)</f>
        <v>2029</v>
      </c>
      <c r="D561" s="732">
        <f t="shared" si="30"/>
        <v>36079350.230769217</v>
      </c>
      <c r="E561" s="785">
        <f t="shared" si="35"/>
        <v>1336272.2307692308</v>
      </c>
      <c r="F561" s="732">
        <f t="shared" si="31"/>
        <v>34743077.999999985</v>
      </c>
      <c r="G561" s="790">
        <f t="shared" si="32"/>
        <v>5431584.7970162909</v>
      </c>
      <c r="H561" s="791">
        <f t="shared" si="33"/>
        <v>5431584.7970162909</v>
      </c>
      <c r="I561" s="788">
        <f t="shared" si="34"/>
        <v>0</v>
      </c>
      <c r="J561" s="788"/>
      <c r="K561" s="808"/>
      <c r="L561" s="792"/>
      <c r="M561" s="808"/>
      <c r="N561" s="792"/>
      <c r="O561" s="792"/>
    </row>
    <row r="562" spans="3:15">
      <c r="C562" s="784">
        <f>IF(D542="","-",+C561+1)</f>
        <v>2030</v>
      </c>
      <c r="D562" s="732">
        <f t="shared" si="30"/>
        <v>34743077.999999985</v>
      </c>
      <c r="E562" s="785">
        <f t="shared" si="35"/>
        <v>1336272.2307692308</v>
      </c>
      <c r="F562" s="732">
        <f t="shared" si="31"/>
        <v>33406805.769230753</v>
      </c>
      <c r="G562" s="790">
        <f t="shared" si="32"/>
        <v>5277044.7001767792</v>
      </c>
      <c r="H562" s="791">
        <f t="shared" si="33"/>
        <v>5277044.7001767792</v>
      </c>
      <c r="I562" s="788">
        <f t="shared" si="34"/>
        <v>0</v>
      </c>
      <c r="J562" s="788"/>
      <c r="K562" s="808"/>
      <c r="L562" s="792"/>
      <c r="M562" s="808"/>
      <c r="N562" s="792"/>
      <c r="O562" s="792"/>
    </row>
    <row r="563" spans="3:15">
      <c r="C563" s="784">
        <f>IF(D542="","-",+C562+1)</f>
        <v>2031</v>
      </c>
      <c r="D563" s="732">
        <f t="shared" si="30"/>
        <v>33406805.769230753</v>
      </c>
      <c r="E563" s="785">
        <f t="shared" si="35"/>
        <v>1336272.2307692308</v>
      </c>
      <c r="F563" s="732">
        <f t="shared" si="31"/>
        <v>32070533.538461521</v>
      </c>
      <c r="G563" s="790">
        <f t="shared" si="32"/>
        <v>5122504.6033372674</v>
      </c>
      <c r="H563" s="791">
        <f t="shared" si="33"/>
        <v>5122504.6033372674</v>
      </c>
      <c r="I563" s="788">
        <f t="shared" si="34"/>
        <v>0</v>
      </c>
      <c r="J563" s="788"/>
      <c r="K563" s="808"/>
      <c r="L563" s="792"/>
      <c r="M563" s="808"/>
      <c r="N563" s="792"/>
      <c r="O563" s="792"/>
    </row>
    <row r="564" spans="3:15">
      <c r="C564" s="784">
        <f>IF(D542="","-",+C563+1)</f>
        <v>2032</v>
      </c>
      <c r="D564" s="732">
        <f t="shared" si="30"/>
        <v>32070533.538461521</v>
      </c>
      <c r="E564" s="785">
        <f t="shared" si="35"/>
        <v>1336272.2307692308</v>
      </c>
      <c r="F564" s="732">
        <f t="shared" si="31"/>
        <v>30734261.307692289</v>
      </c>
      <c r="G564" s="790">
        <f t="shared" si="32"/>
        <v>4967964.5064977556</v>
      </c>
      <c r="H564" s="791">
        <f t="shared" si="33"/>
        <v>4967964.5064977556</v>
      </c>
      <c r="I564" s="788">
        <f t="shared" si="34"/>
        <v>0</v>
      </c>
      <c r="J564" s="788"/>
      <c r="K564" s="808"/>
      <c r="L564" s="792"/>
      <c r="M564" s="808"/>
      <c r="N564" s="792"/>
      <c r="O564" s="792"/>
    </row>
    <row r="565" spans="3:15">
      <c r="C565" s="784">
        <f>IF(D542="","-",+C564+1)</f>
        <v>2033</v>
      </c>
      <c r="D565" s="732">
        <f t="shared" si="30"/>
        <v>30734261.307692289</v>
      </c>
      <c r="E565" s="785">
        <f t="shared" si="35"/>
        <v>1336272.2307692308</v>
      </c>
      <c r="F565" s="732">
        <f t="shared" si="31"/>
        <v>29397989.076923057</v>
      </c>
      <c r="G565" s="790">
        <f t="shared" si="32"/>
        <v>4813424.4096582439</v>
      </c>
      <c r="H565" s="791">
        <f t="shared" si="33"/>
        <v>4813424.4096582439</v>
      </c>
      <c r="I565" s="788">
        <f t="shared" si="34"/>
        <v>0</v>
      </c>
      <c r="J565" s="788"/>
      <c r="K565" s="808"/>
      <c r="L565" s="792"/>
      <c r="M565" s="808"/>
      <c r="N565" s="792"/>
      <c r="O565" s="792"/>
    </row>
    <row r="566" spans="3:15">
      <c r="C566" s="784">
        <f>IF(D542="","-",+C565+1)</f>
        <v>2034</v>
      </c>
      <c r="D566" s="732">
        <f t="shared" si="30"/>
        <v>29397989.076923057</v>
      </c>
      <c r="E566" s="785">
        <f t="shared" si="35"/>
        <v>1336272.2307692308</v>
      </c>
      <c r="F566" s="732">
        <f t="shared" si="31"/>
        <v>28061716.846153826</v>
      </c>
      <c r="G566" s="790">
        <f t="shared" si="32"/>
        <v>4658884.3128187321</v>
      </c>
      <c r="H566" s="791">
        <f t="shared" si="33"/>
        <v>4658884.3128187321</v>
      </c>
      <c r="I566" s="788">
        <f t="shared" si="34"/>
        <v>0</v>
      </c>
      <c r="J566" s="788"/>
      <c r="K566" s="808"/>
      <c r="L566" s="792"/>
      <c r="M566" s="808"/>
      <c r="N566" s="792"/>
      <c r="O566" s="792"/>
    </row>
    <row r="567" spans="3:15">
      <c r="C567" s="784">
        <f>IF(D542="","-",+C566+1)</f>
        <v>2035</v>
      </c>
      <c r="D567" s="732">
        <f t="shared" si="30"/>
        <v>28061716.846153826</v>
      </c>
      <c r="E567" s="785">
        <f t="shared" si="35"/>
        <v>1336272.2307692308</v>
      </c>
      <c r="F567" s="732">
        <f t="shared" si="31"/>
        <v>26725444.615384594</v>
      </c>
      <c r="G567" s="790">
        <f t="shared" si="32"/>
        <v>4504344.2159792194</v>
      </c>
      <c r="H567" s="791">
        <f t="shared" si="33"/>
        <v>4504344.2159792194</v>
      </c>
      <c r="I567" s="788">
        <f t="shared" si="34"/>
        <v>0</v>
      </c>
      <c r="J567" s="788"/>
      <c r="K567" s="808"/>
      <c r="L567" s="792"/>
      <c r="M567" s="808"/>
      <c r="N567" s="792"/>
      <c r="O567" s="792"/>
    </row>
    <row r="568" spans="3:15">
      <c r="C568" s="784">
        <f>IF(D542="","-",+C567+1)</f>
        <v>2036</v>
      </c>
      <c r="D568" s="732">
        <f t="shared" si="30"/>
        <v>26725444.615384594</v>
      </c>
      <c r="E568" s="785">
        <f t="shared" si="35"/>
        <v>1336272.2307692308</v>
      </c>
      <c r="F568" s="732">
        <f t="shared" si="31"/>
        <v>25389172.384615362</v>
      </c>
      <c r="G568" s="790">
        <f t="shared" si="32"/>
        <v>4349804.1191397076</v>
      </c>
      <c r="H568" s="791">
        <f t="shared" si="33"/>
        <v>4349804.1191397076</v>
      </c>
      <c r="I568" s="788">
        <f t="shared" si="34"/>
        <v>0</v>
      </c>
      <c r="J568" s="788"/>
      <c r="K568" s="808"/>
      <c r="L568" s="792"/>
      <c r="M568" s="808"/>
      <c r="N568" s="792"/>
      <c r="O568" s="792"/>
    </row>
    <row r="569" spans="3:15">
      <c r="C569" s="784">
        <f>IF(D542="","-",+C568+1)</f>
        <v>2037</v>
      </c>
      <c r="D569" s="732">
        <f t="shared" si="30"/>
        <v>25389172.384615362</v>
      </c>
      <c r="E569" s="785">
        <f t="shared" si="35"/>
        <v>1336272.2307692308</v>
      </c>
      <c r="F569" s="732">
        <f t="shared" si="31"/>
        <v>24052900.15384613</v>
      </c>
      <c r="G569" s="790">
        <f t="shared" si="32"/>
        <v>4195264.0223001959</v>
      </c>
      <c r="H569" s="791">
        <f t="shared" si="33"/>
        <v>4195264.0223001959</v>
      </c>
      <c r="I569" s="788">
        <f t="shared" si="34"/>
        <v>0</v>
      </c>
      <c r="J569" s="788"/>
      <c r="K569" s="808"/>
      <c r="L569" s="792"/>
      <c r="M569" s="808"/>
      <c r="N569" s="792"/>
      <c r="O569" s="792"/>
    </row>
    <row r="570" spans="3:15">
      <c r="C570" s="784">
        <f>IF(D542="","-",+C569+1)</f>
        <v>2038</v>
      </c>
      <c r="D570" s="732">
        <f t="shared" si="30"/>
        <v>24052900.15384613</v>
      </c>
      <c r="E570" s="785">
        <f t="shared" si="35"/>
        <v>1336272.2307692308</v>
      </c>
      <c r="F570" s="732">
        <f t="shared" si="31"/>
        <v>22716627.923076898</v>
      </c>
      <c r="G570" s="790">
        <f t="shared" si="32"/>
        <v>4040723.9254606841</v>
      </c>
      <c r="H570" s="791">
        <f t="shared" si="33"/>
        <v>4040723.9254606841</v>
      </c>
      <c r="I570" s="788">
        <f t="shared" si="34"/>
        <v>0</v>
      </c>
      <c r="J570" s="788"/>
      <c r="K570" s="808"/>
      <c r="L570" s="792"/>
      <c r="M570" s="808"/>
      <c r="N570" s="792"/>
      <c r="O570" s="792"/>
    </row>
    <row r="571" spans="3:15">
      <c r="C571" s="784">
        <f>IF(D542="","-",+C570+1)</f>
        <v>2039</v>
      </c>
      <c r="D571" s="732">
        <f t="shared" si="30"/>
        <v>22716627.923076898</v>
      </c>
      <c r="E571" s="785">
        <f t="shared" si="35"/>
        <v>1336272.2307692308</v>
      </c>
      <c r="F571" s="732">
        <f t="shared" si="31"/>
        <v>21380355.692307666</v>
      </c>
      <c r="G571" s="790">
        <f t="shared" si="32"/>
        <v>3886183.8286211723</v>
      </c>
      <c r="H571" s="791">
        <f t="shared" si="33"/>
        <v>3886183.8286211723</v>
      </c>
      <c r="I571" s="788">
        <f t="shared" si="34"/>
        <v>0</v>
      </c>
      <c r="J571" s="788"/>
      <c r="K571" s="808"/>
      <c r="L571" s="792"/>
      <c r="M571" s="808"/>
      <c r="N571" s="792"/>
      <c r="O571" s="792"/>
    </row>
    <row r="572" spans="3:15">
      <c r="C572" s="784">
        <f>IF(D542="","-",+C571+1)</f>
        <v>2040</v>
      </c>
      <c r="D572" s="732">
        <f t="shared" si="30"/>
        <v>21380355.692307666</v>
      </c>
      <c r="E572" s="785">
        <f t="shared" si="35"/>
        <v>1336272.2307692308</v>
      </c>
      <c r="F572" s="732">
        <f t="shared" si="31"/>
        <v>20044083.461538434</v>
      </c>
      <c r="G572" s="790">
        <f t="shared" si="32"/>
        <v>3731643.7317816606</v>
      </c>
      <c r="H572" s="791">
        <f t="shared" si="33"/>
        <v>3731643.7317816606</v>
      </c>
      <c r="I572" s="788">
        <f t="shared" si="34"/>
        <v>0</v>
      </c>
      <c r="J572" s="788"/>
      <c r="K572" s="808"/>
      <c r="L572" s="792"/>
      <c r="M572" s="808"/>
      <c r="N572" s="792"/>
      <c r="O572" s="792"/>
    </row>
    <row r="573" spans="3:15">
      <c r="C573" s="784">
        <f>IF(D542="","-",+C572+1)</f>
        <v>2041</v>
      </c>
      <c r="D573" s="732">
        <f t="shared" si="30"/>
        <v>20044083.461538434</v>
      </c>
      <c r="E573" s="785">
        <f t="shared" si="35"/>
        <v>1336272.2307692308</v>
      </c>
      <c r="F573" s="732">
        <f t="shared" si="31"/>
        <v>18707811.230769202</v>
      </c>
      <c r="G573" s="790">
        <f t="shared" si="32"/>
        <v>3577103.6349421479</v>
      </c>
      <c r="H573" s="791">
        <f t="shared" si="33"/>
        <v>3577103.6349421479</v>
      </c>
      <c r="I573" s="788">
        <f t="shared" si="34"/>
        <v>0</v>
      </c>
      <c r="J573" s="788"/>
      <c r="K573" s="808"/>
      <c r="L573" s="792"/>
      <c r="M573" s="808"/>
      <c r="N573" s="792"/>
      <c r="O573" s="792"/>
    </row>
    <row r="574" spans="3:15">
      <c r="C574" s="784">
        <f>IF(D542="","-",+C573+1)</f>
        <v>2042</v>
      </c>
      <c r="D574" s="732">
        <f t="shared" si="30"/>
        <v>18707811.230769202</v>
      </c>
      <c r="E574" s="785">
        <f t="shared" si="35"/>
        <v>1336272.2307692308</v>
      </c>
      <c r="F574" s="732">
        <f t="shared" si="31"/>
        <v>17371538.99999997</v>
      </c>
      <c r="G574" s="790">
        <f t="shared" si="32"/>
        <v>3422563.5381026361</v>
      </c>
      <c r="H574" s="791">
        <f t="shared" si="33"/>
        <v>3422563.5381026361</v>
      </c>
      <c r="I574" s="788">
        <f t="shared" si="34"/>
        <v>0</v>
      </c>
      <c r="J574" s="788"/>
      <c r="K574" s="808"/>
      <c r="L574" s="792"/>
      <c r="M574" s="808"/>
      <c r="N574" s="792"/>
      <c r="O574" s="792"/>
    </row>
    <row r="575" spans="3:15">
      <c r="C575" s="784">
        <f>IF(D542="","-",+C574+1)</f>
        <v>2043</v>
      </c>
      <c r="D575" s="732">
        <f t="shared" si="30"/>
        <v>17371538.99999997</v>
      </c>
      <c r="E575" s="785">
        <f t="shared" si="35"/>
        <v>1336272.2307692308</v>
      </c>
      <c r="F575" s="732">
        <f t="shared" si="31"/>
        <v>16035266.76923074</v>
      </c>
      <c r="G575" s="790">
        <f t="shared" si="32"/>
        <v>3268023.4412631243</v>
      </c>
      <c r="H575" s="791">
        <f t="shared" si="33"/>
        <v>3268023.4412631243</v>
      </c>
      <c r="I575" s="788">
        <f t="shared" si="34"/>
        <v>0</v>
      </c>
      <c r="J575" s="788"/>
      <c r="K575" s="808"/>
      <c r="L575" s="792"/>
      <c r="M575" s="808"/>
      <c r="N575" s="792"/>
      <c r="O575" s="792"/>
    </row>
    <row r="576" spans="3:15">
      <c r="C576" s="784">
        <f>IF(D542="","-",+C575+1)</f>
        <v>2044</v>
      </c>
      <c r="D576" s="732">
        <f t="shared" si="30"/>
        <v>16035266.76923074</v>
      </c>
      <c r="E576" s="785">
        <f t="shared" si="35"/>
        <v>1336272.2307692308</v>
      </c>
      <c r="F576" s="732">
        <f t="shared" si="31"/>
        <v>14698994.53846151</v>
      </c>
      <c r="G576" s="786">
        <f t="shared" si="32"/>
        <v>3113483.344423613</v>
      </c>
      <c r="H576" s="791">
        <f t="shared" si="33"/>
        <v>3113483.344423613</v>
      </c>
      <c r="I576" s="788">
        <f t="shared" si="34"/>
        <v>0</v>
      </c>
      <c r="J576" s="788"/>
      <c r="K576" s="808"/>
      <c r="L576" s="792"/>
      <c r="M576" s="808"/>
      <c r="N576" s="792"/>
      <c r="O576" s="792"/>
    </row>
    <row r="577" spans="3:15">
      <c r="C577" s="784">
        <f>IF(D542="","-",+C576+1)</f>
        <v>2045</v>
      </c>
      <c r="D577" s="732">
        <f t="shared" si="30"/>
        <v>14698994.53846151</v>
      </c>
      <c r="E577" s="785">
        <f t="shared" si="35"/>
        <v>1336272.2307692308</v>
      </c>
      <c r="F577" s="732">
        <f t="shared" si="31"/>
        <v>13362722.30769228</v>
      </c>
      <c r="G577" s="790">
        <f t="shared" si="32"/>
        <v>2958943.2475841008</v>
      </c>
      <c r="H577" s="791">
        <f t="shared" si="33"/>
        <v>2958943.2475841008</v>
      </c>
      <c r="I577" s="788">
        <f t="shared" si="34"/>
        <v>0</v>
      </c>
      <c r="J577" s="788"/>
      <c r="K577" s="808"/>
      <c r="L577" s="792"/>
      <c r="M577" s="808"/>
      <c r="N577" s="792"/>
      <c r="O577" s="792"/>
    </row>
    <row r="578" spans="3:15">
      <c r="C578" s="784">
        <f>IF(D542="","-",+C577+1)</f>
        <v>2046</v>
      </c>
      <c r="D578" s="732">
        <f t="shared" si="30"/>
        <v>13362722.30769228</v>
      </c>
      <c r="E578" s="785">
        <f t="shared" si="35"/>
        <v>1336272.2307692308</v>
      </c>
      <c r="F578" s="732">
        <f t="shared" si="31"/>
        <v>12026450.07692305</v>
      </c>
      <c r="G578" s="790">
        <f t="shared" si="32"/>
        <v>2804403.1507445895</v>
      </c>
      <c r="H578" s="791">
        <f t="shared" si="33"/>
        <v>2804403.1507445895</v>
      </c>
      <c r="I578" s="788">
        <f t="shared" si="34"/>
        <v>0</v>
      </c>
      <c r="J578" s="788"/>
      <c r="K578" s="808"/>
      <c r="L578" s="792"/>
      <c r="M578" s="808"/>
      <c r="N578" s="792"/>
      <c r="O578" s="792"/>
    </row>
    <row r="579" spans="3:15">
      <c r="C579" s="784">
        <f>IF(D542="","-",+C578+1)</f>
        <v>2047</v>
      </c>
      <c r="D579" s="732">
        <f t="shared" si="30"/>
        <v>12026450.07692305</v>
      </c>
      <c r="E579" s="785">
        <f t="shared" si="35"/>
        <v>1336272.2307692308</v>
      </c>
      <c r="F579" s="732">
        <f t="shared" si="31"/>
        <v>10690177.84615382</v>
      </c>
      <c r="G579" s="790">
        <f t="shared" si="32"/>
        <v>2649863.0539050777</v>
      </c>
      <c r="H579" s="791">
        <f t="shared" si="33"/>
        <v>2649863.0539050777</v>
      </c>
      <c r="I579" s="788">
        <f t="shared" si="34"/>
        <v>0</v>
      </c>
      <c r="J579" s="788"/>
      <c r="K579" s="808"/>
      <c r="L579" s="792"/>
      <c r="M579" s="808"/>
      <c r="N579" s="792"/>
      <c r="O579" s="792"/>
    </row>
    <row r="580" spans="3:15">
      <c r="C580" s="784">
        <f>IF(D542="","-",+C579+1)</f>
        <v>2048</v>
      </c>
      <c r="D580" s="732">
        <f t="shared" si="30"/>
        <v>10690177.84615382</v>
      </c>
      <c r="E580" s="785">
        <f t="shared" si="35"/>
        <v>1336272.2307692308</v>
      </c>
      <c r="F580" s="732">
        <f t="shared" si="31"/>
        <v>9353905.6153845899</v>
      </c>
      <c r="G580" s="790">
        <f t="shared" si="32"/>
        <v>2495322.9570655664</v>
      </c>
      <c r="H580" s="791">
        <f t="shared" si="33"/>
        <v>2495322.9570655664</v>
      </c>
      <c r="I580" s="788">
        <f t="shared" si="34"/>
        <v>0</v>
      </c>
      <c r="J580" s="788"/>
      <c r="K580" s="808"/>
      <c r="L580" s="792"/>
      <c r="M580" s="808"/>
      <c r="N580" s="792"/>
      <c r="O580" s="792"/>
    </row>
    <row r="581" spans="3:15">
      <c r="C581" s="784">
        <f>IF(D542="","-",+C580+1)</f>
        <v>2049</v>
      </c>
      <c r="D581" s="732">
        <f t="shared" si="30"/>
        <v>9353905.6153845899</v>
      </c>
      <c r="E581" s="785">
        <f t="shared" si="35"/>
        <v>1336272.2307692308</v>
      </c>
      <c r="F581" s="732">
        <f t="shared" si="31"/>
        <v>8017633.3846153589</v>
      </c>
      <c r="G581" s="790">
        <f t="shared" si="32"/>
        <v>2340782.8602260542</v>
      </c>
      <c r="H581" s="791">
        <f t="shared" si="33"/>
        <v>2340782.8602260542</v>
      </c>
      <c r="I581" s="788">
        <f t="shared" si="34"/>
        <v>0</v>
      </c>
      <c r="J581" s="788"/>
      <c r="K581" s="808"/>
      <c r="L581" s="792"/>
      <c r="M581" s="808"/>
      <c r="N581" s="792"/>
      <c r="O581" s="792"/>
    </row>
    <row r="582" spans="3:15">
      <c r="C582" s="784">
        <f>IF(D542="","-",+C581+1)</f>
        <v>2050</v>
      </c>
      <c r="D582" s="732">
        <f t="shared" si="30"/>
        <v>8017633.3846153589</v>
      </c>
      <c r="E582" s="785">
        <f t="shared" si="35"/>
        <v>1336272.2307692308</v>
      </c>
      <c r="F582" s="732">
        <f t="shared" si="31"/>
        <v>6681361.1538461279</v>
      </c>
      <c r="G582" s="790">
        <f t="shared" si="32"/>
        <v>2186242.7633865424</v>
      </c>
      <c r="H582" s="791">
        <f t="shared" si="33"/>
        <v>2186242.7633865424</v>
      </c>
      <c r="I582" s="788">
        <f t="shared" si="34"/>
        <v>0</v>
      </c>
      <c r="J582" s="788"/>
      <c r="K582" s="808"/>
      <c r="L582" s="792"/>
      <c r="M582" s="808"/>
      <c r="N582" s="792"/>
      <c r="O582" s="792"/>
    </row>
    <row r="583" spans="3:15">
      <c r="C583" s="784">
        <f>IF(D542="","-",+C582+1)</f>
        <v>2051</v>
      </c>
      <c r="D583" s="732">
        <f t="shared" si="30"/>
        <v>6681361.1538461279</v>
      </c>
      <c r="E583" s="785">
        <f t="shared" si="35"/>
        <v>1336272.2307692308</v>
      </c>
      <c r="F583" s="732">
        <f t="shared" si="31"/>
        <v>5345088.9230768969</v>
      </c>
      <c r="G583" s="790">
        <f t="shared" si="32"/>
        <v>2031702.6665470307</v>
      </c>
      <c r="H583" s="791">
        <f t="shared" si="33"/>
        <v>2031702.6665470307</v>
      </c>
      <c r="I583" s="788">
        <f t="shared" si="34"/>
        <v>0</v>
      </c>
      <c r="J583" s="788"/>
      <c r="K583" s="808"/>
      <c r="L583" s="792"/>
      <c r="M583" s="808"/>
      <c r="N583" s="792"/>
      <c r="O583" s="792"/>
    </row>
    <row r="584" spans="3:15">
      <c r="C584" s="784">
        <f>IF(D542="","-",+C583+1)</f>
        <v>2052</v>
      </c>
      <c r="D584" s="732">
        <f t="shared" si="30"/>
        <v>5345088.9230768969</v>
      </c>
      <c r="E584" s="785">
        <f t="shared" si="35"/>
        <v>1336272.2307692308</v>
      </c>
      <c r="F584" s="732">
        <f t="shared" si="31"/>
        <v>4008816.6923076659</v>
      </c>
      <c r="G584" s="790">
        <f t="shared" si="32"/>
        <v>1877162.5697075189</v>
      </c>
      <c r="H584" s="791">
        <f t="shared" si="33"/>
        <v>1877162.5697075189</v>
      </c>
      <c r="I584" s="788">
        <f t="shared" si="34"/>
        <v>0</v>
      </c>
      <c r="J584" s="788"/>
      <c r="K584" s="808"/>
      <c r="L584" s="792"/>
      <c r="M584" s="808"/>
      <c r="N584" s="792"/>
      <c r="O584" s="792"/>
    </row>
    <row r="585" spans="3:15">
      <c r="C585" s="784">
        <f>IF(D542="","-",+C584+1)</f>
        <v>2053</v>
      </c>
      <c r="D585" s="732">
        <f t="shared" si="30"/>
        <v>4008816.6923076659</v>
      </c>
      <c r="E585" s="785">
        <f t="shared" si="35"/>
        <v>1336272.2307692308</v>
      </c>
      <c r="F585" s="732">
        <f t="shared" si="31"/>
        <v>2672544.461538435</v>
      </c>
      <c r="G585" s="790">
        <f t="shared" si="32"/>
        <v>1722622.4728680071</v>
      </c>
      <c r="H585" s="791">
        <f t="shared" si="33"/>
        <v>1722622.4728680071</v>
      </c>
      <c r="I585" s="788">
        <f t="shared" si="34"/>
        <v>0</v>
      </c>
      <c r="J585" s="788"/>
      <c r="K585" s="808"/>
      <c r="L585" s="792"/>
      <c r="M585" s="808"/>
      <c r="N585" s="792"/>
      <c r="O585" s="792"/>
    </row>
    <row r="586" spans="3:15">
      <c r="C586" s="784">
        <f>IF(D542="","-",+C585+1)</f>
        <v>2054</v>
      </c>
      <c r="D586" s="732">
        <f t="shared" si="30"/>
        <v>2672544.461538435</v>
      </c>
      <c r="E586" s="785">
        <f t="shared" si="35"/>
        <v>1336272.2307692308</v>
      </c>
      <c r="F586" s="732">
        <f t="shared" si="31"/>
        <v>1336272.2307692042</v>
      </c>
      <c r="G586" s="790">
        <f t="shared" si="32"/>
        <v>1568082.3760284954</v>
      </c>
      <c r="H586" s="791">
        <f t="shared" si="33"/>
        <v>1568082.3760284954</v>
      </c>
      <c r="I586" s="788">
        <f t="shared" si="34"/>
        <v>0</v>
      </c>
      <c r="J586" s="788"/>
      <c r="K586" s="808"/>
      <c r="L586" s="792"/>
      <c r="M586" s="808"/>
      <c r="N586" s="792"/>
      <c r="O586" s="792"/>
    </row>
    <row r="587" spans="3:15">
      <c r="C587" s="784">
        <f>IF(D542="","-",+C586+1)</f>
        <v>2055</v>
      </c>
      <c r="D587" s="732">
        <f t="shared" si="30"/>
        <v>1336272.2307692042</v>
      </c>
      <c r="E587" s="785">
        <f t="shared" si="35"/>
        <v>1336272.2307692042</v>
      </c>
      <c r="F587" s="732">
        <f t="shared" si="31"/>
        <v>0</v>
      </c>
      <c r="G587" s="790">
        <f t="shared" si="32"/>
        <v>1413542.2791889585</v>
      </c>
      <c r="H587" s="791">
        <f t="shared" si="33"/>
        <v>1413542.2791889585</v>
      </c>
      <c r="I587" s="788">
        <f t="shared" si="34"/>
        <v>0</v>
      </c>
      <c r="J587" s="788"/>
      <c r="K587" s="808"/>
      <c r="L587" s="792"/>
      <c r="M587" s="808"/>
      <c r="N587" s="792"/>
      <c r="O587" s="792"/>
    </row>
    <row r="588" spans="3:15">
      <c r="C588" s="784">
        <f>IF(D542="","-",+C587+1)</f>
        <v>2056</v>
      </c>
      <c r="D588" s="732">
        <f t="shared" si="30"/>
        <v>0</v>
      </c>
      <c r="E588" s="785">
        <f t="shared" si="35"/>
        <v>0</v>
      </c>
      <c r="F588" s="732">
        <f t="shared" si="31"/>
        <v>0</v>
      </c>
      <c r="G588" s="790">
        <f t="shared" si="32"/>
        <v>0</v>
      </c>
      <c r="H588" s="791">
        <f t="shared" si="33"/>
        <v>0</v>
      </c>
      <c r="I588" s="788">
        <f t="shared" si="34"/>
        <v>0</v>
      </c>
      <c r="J588" s="788"/>
      <c r="K588" s="808"/>
      <c r="L588" s="792"/>
      <c r="M588" s="808"/>
      <c r="N588" s="792"/>
      <c r="O588" s="792"/>
    </row>
    <row r="589" spans="3:15">
      <c r="C589" s="784">
        <f>IF(D542="","-",+C588+1)</f>
        <v>2057</v>
      </c>
      <c r="D589" s="732">
        <f t="shared" si="30"/>
        <v>0</v>
      </c>
      <c r="E589" s="785">
        <f t="shared" si="35"/>
        <v>0</v>
      </c>
      <c r="F589" s="732">
        <f t="shared" si="31"/>
        <v>0</v>
      </c>
      <c r="G589" s="790">
        <f t="shared" si="32"/>
        <v>0</v>
      </c>
      <c r="H589" s="791">
        <f t="shared" si="33"/>
        <v>0</v>
      </c>
      <c r="I589" s="788">
        <f t="shared" si="34"/>
        <v>0</v>
      </c>
      <c r="J589" s="788"/>
      <c r="K589" s="808"/>
      <c r="L589" s="792"/>
      <c r="M589" s="808"/>
      <c r="N589" s="792"/>
      <c r="O589" s="792"/>
    </row>
    <row r="590" spans="3:15">
      <c r="C590" s="784">
        <f>IF(D542="","-",+C589+1)</f>
        <v>2058</v>
      </c>
      <c r="D590" s="732">
        <f t="shared" si="30"/>
        <v>0</v>
      </c>
      <c r="E590" s="785">
        <f t="shared" si="35"/>
        <v>0</v>
      </c>
      <c r="F590" s="732">
        <f t="shared" si="31"/>
        <v>0</v>
      </c>
      <c r="G590" s="790">
        <f t="shared" si="32"/>
        <v>0</v>
      </c>
      <c r="H590" s="791">
        <f t="shared" si="33"/>
        <v>0</v>
      </c>
      <c r="I590" s="788">
        <f t="shared" si="34"/>
        <v>0</v>
      </c>
      <c r="J590" s="788"/>
      <c r="K590" s="808"/>
      <c r="L590" s="792"/>
      <c r="M590" s="808"/>
      <c r="N590" s="792"/>
      <c r="O590" s="792"/>
    </row>
    <row r="591" spans="3:15">
      <c r="C591" s="784">
        <f>IF(D542="","-",+C590+1)</f>
        <v>2059</v>
      </c>
      <c r="D591" s="732">
        <f t="shared" si="30"/>
        <v>0</v>
      </c>
      <c r="E591" s="785">
        <f t="shared" si="35"/>
        <v>0</v>
      </c>
      <c r="F591" s="732">
        <f t="shared" si="31"/>
        <v>0</v>
      </c>
      <c r="G591" s="790">
        <f t="shared" si="32"/>
        <v>0</v>
      </c>
      <c r="H591" s="791">
        <f t="shared" si="33"/>
        <v>0</v>
      </c>
      <c r="I591" s="788">
        <f t="shared" si="34"/>
        <v>0</v>
      </c>
      <c r="J591" s="788"/>
      <c r="K591" s="808"/>
      <c r="L591" s="792"/>
      <c r="M591" s="808"/>
      <c r="N591" s="792"/>
      <c r="O591" s="792"/>
    </row>
    <row r="592" spans="3:15">
      <c r="C592" s="784">
        <f>IF(D542="","-",+C591+1)</f>
        <v>2060</v>
      </c>
      <c r="D592" s="732">
        <f t="shared" si="30"/>
        <v>0</v>
      </c>
      <c r="E592" s="785">
        <f t="shared" si="35"/>
        <v>0</v>
      </c>
      <c r="F592" s="732">
        <f t="shared" si="31"/>
        <v>0</v>
      </c>
      <c r="G592" s="790">
        <f t="shared" si="32"/>
        <v>0</v>
      </c>
      <c r="H592" s="791">
        <f t="shared" si="33"/>
        <v>0</v>
      </c>
      <c r="I592" s="788">
        <f t="shared" si="34"/>
        <v>0</v>
      </c>
      <c r="J592" s="788"/>
      <c r="K592" s="808"/>
      <c r="L592" s="792"/>
      <c r="M592" s="808"/>
      <c r="N592" s="792"/>
      <c r="O592" s="792"/>
    </row>
    <row r="593" spans="3:15">
      <c r="C593" s="784">
        <f>IF(D542="","-",+C592+1)</f>
        <v>2061</v>
      </c>
      <c r="D593" s="732">
        <f t="shared" si="30"/>
        <v>0</v>
      </c>
      <c r="E593" s="785">
        <f t="shared" si="35"/>
        <v>0</v>
      </c>
      <c r="F593" s="732">
        <f t="shared" si="31"/>
        <v>0</v>
      </c>
      <c r="G593" s="790">
        <f t="shared" si="32"/>
        <v>0</v>
      </c>
      <c r="H593" s="791">
        <f t="shared" si="33"/>
        <v>0</v>
      </c>
      <c r="I593" s="788">
        <f t="shared" si="34"/>
        <v>0</v>
      </c>
      <c r="J593" s="788"/>
      <c r="K593" s="808"/>
      <c r="L593" s="792"/>
      <c r="M593" s="808"/>
      <c r="N593" s="792"/>
      <c r="O593" s="792"/>
    </row>
    <row r="594" spans="3:15">
      <c r="C594" s="784">
        <f>IF(D542="","-",+C593+1)</f>
        <v>2062</v>
      </c>
      <c r="D594" s="732">
        <f t="shared" si="30"/>
        <v>0</v>
      </c>
      <c r="E594" s="785">
        <f t="shared" si="35"/>
        <v>0</v>
      </c>
      <c r="F594" s="732">
        <f t="shared" si="31"/>
        <v>0</v>
      </c>
      <c r="G594" s="790">
        <f t="shared" si="32"/>
        <v>0</v>
      </c>
      <c r="H594" s="791">
        <f t="shared" si="33"/>
        <v>0</v>
      </c>
      <c r="I594" s="788">
        <f t="shared" si="34"/>
        <v>0</v>
      </c>
      <c r="J594" s="788"/>
      <c r="K594" s="808"/>
      <c r="L594" s="792"/>
      <c r="M594" s="808"/>
      <c r="N594" s="792"/>
      <c r="O594" s="792"/>
    </row>
    <row r="595" spans="3:15">
      <c r="C595" s="784">
        <f>IF(D542="","-",+C594+1)</f>
        <v>2063</v>
      </c>
      <c r="D595" s="732">
        <f t="shared" si="30"/>
        <v>0</v>
      </c>
      <c r="E595" s="785">
        <f t="shared" si="35"/>
        <v>0</v>
      </c>
      <c r="F595" s="732">
        <f t="shared" si="31"/>
        <v>0</v>
      </c>
      <c r="G595" s="790">
        <f t="shared" si="32"/>
        <v>0</v>
      </c>
      <c r="H595" s="791">
        <f t="shared" si="33"/>
        <v>0</v>
      </c>
      <c r="I595" s="788">
        <f t="shared" si="34"/>
        <v>0</v>
      </c>
      <c r="J595" s="788"/>
      <c r="K595" s="808"/>
      <c r="L595" s="792"/>
      <c r="M595" s="808"/>
      <c r="N595" s="792"/>
      <c r="O595" s="792"/>
    </row>
    <row r="596" spans="3:15">
      <c r="C596" s="784">
        <f>IF(D542="","-",+C595+1)</f>
        <v>2064</v>
      </c>
      <c r="D596" s="732">
        <f t="shared" si="30"/>
        <v>0</v>
      </c>
      <c r="E596" s="785">
        <f t="shared" si="35"/>
        <v>0</v>
      </c>
      <c r="F596" s="732">
        <f t="shared" si="31"/>
        <v>0</v>
      </c>
      <c r="G596" s="790">
        <f t="shared" si="32"/>
        <v>0</v>
      </c>
      <c r="H596" s="791">
        <f t="shared" si="33"/>
        <v>0</v>
      </c>
      <c r="I596" s="788">
        <f t="shared" si="34"/>
        <v>0</v>
      </c>
      <c r="J596" s="788"/>
      <c r="K596" s="808"/>
      <c r="L596" s="792"/>
      <c r="M596" s="808"/>
      <c r="N596" s="792"/>
      <c r="O596" s="792"/>
    </row>
    <row r="597" spans="3:15">
      <c r="C597" s="784">
        <f>IF(D542="","-",+C596+1)</f>
        <v>2065</v>
      </c>
      <c r="D597" s="732">
        <f t="shared" si="30"/>
        <v>0</v>
      </c>
      <c r="E597" s="785">
        <f t="shared" si="35"/>
        <v>0</v>
      </c>
      <c r="F597" s="732">
        <f t="shared" si="31"/>
        <v>0</v>
      </c>
      <c r="G597" s="790">
        <f t="shared" si="32"/>
        <v>0</v>
      </c>
      <c r="H597" s="791">
        <f t="shared" si="33"/>
        <v>0</v>
      </c>
      <c r="I597" s="788">
        <f t="shared" si="34"/>
        <v>0</v>
      </c>
      <c r="J597" s="788"/>
      <c r="K597" s="808"/>
      <c r="L597" s="792"/>
      <c r="M597" s="808"/>
      <c r="N597" s="792"/>
      <c r="O597" s="792"/>
    </row>
    <row r="598" spans="3:15">
      <c r="C598" s="784">
        <f>IF(D542="","-",+C597+1)</f>
        <v>2066</v>
      </c>
      <c r="D598" s="732">
        <f t="shared" si="30"/>
        <v>0</v>
      </c>
      <c r="E598" s="785">
        <f t="shared" si="35"/>
        <v>0</v>
      </c>
      <c r="F598" s="732">
        <f t="shared" si="31"/>
        <v>0</v>
      </c>
      <c r="G598" s="790">
        <f t="shared" si="32"/>
        <v>0</v>
      </c>
      <c r="H598" s="791">
        <f t="shared" si="33"/>
        <v>0</v>
      </c>
      <c r="I598" s="788">
        <f t="shared" si="34"/>
        <v>0</v>
      </c>
      <c r="J598" s="788"/>
      <c r="K598" s="808"/>
      <c r="L598" s="792"/>
      <c r="M598" s="808"/>
      <c r="N598" s="792"/>
      <c r="O598" s="792"/>
    </row>
    <row r="599" spans="3:15">
      <c r="C599" s="784">
        <f>IF(D542="","-",+C598+1)</f>
        <v>2067</v>
      </c>
      <c r="D599" s="732">
        <f t="shared" si="30"/>
        <v>0</v>
      </c>
      <c r="E599" s="785">
        <f t="shared" si="35"/>
        <v>0</v>
      </c>
      <c r="F599" s="732">
        <f t="shared" si="31"/>
        <v>0</v>
      </c>
      <c r="G599" s="790">
        <f t="shared" si="32"/>
        <v>0</v>
      </c>
      <c r="H599" s="791">
        <f t="shared" si="33"/>
        <v>0</v>
      </c>
      <c r="I599" s="788">
        <f t="shared" si="34"/>
        <v>0</v>
      </c>
      <c r="J599" s="788"/>
      <c r="K599" s="808"/>
      <c r="L599" s="792"/>
      <c r="M599" s="808"/>
      <c r="N599" s="792"/>
      <c r="O599" s="792"/>
    </row>
    <row r="600" spans="3:15">
      <c r="C600" s="784">
        <f>IF(D542="","-",+C599+1)</f>
        <v>2068</v>
      </c>
      <c r="D600" s="732">
        <f t="shared" si="30"/>
        <v>0</v>
      </c>
      <c r="E600" s="785">
        <f t="shared" si="35"/>
        <v>0</v>
      </c>
      <c r="F600" s="732">
        <f t="shared" si="31"/>
        <v>0</v>
      </c>
      <c r="G600" s="790">
        <f t="shared" si="32"/>
        <v>0</v>
      </c>
      <c r="H600" s="791">
        <f t="shared" si="33"/>
        <v>0</v>
      </c>
      <c r="I600" s="788">
        <f t="shared" si="34"/>
        <v>0</v>
      </c>
      <c r="J600" s="788"/>
      <c r="K600" s="808"/>
      <c r="L600" s="792"/>
      <c r="M600" s="808"/>
      <c r="N600" s="792"/>
      <c r="O600" s="792"/>
    </row>
    <row r="601" spans="3:15">
      <c r="C601" s="784">
        <f>IF(D542="","-",+C600+1)</f>
        <v>2069</v>
      </c>
      <c r="D601" s="732">
        <f t="shared" si="30"/>
        <v>0</v>
      </c>
      <c r="E601" s="785">
        <f t="shared" si="35"/>
        <v>0</v>
      </c>
      <c r="F601" s="732">
        <f t="shared" si="31"/>
        <v>0</v>
      </c>
      <c r="G601" s="790">
        <f t="shared" si="32"/>
        <v>0</v>
      </c>
      <c r="H601" s="791">
        <f t="shared" si="33"/>
        <v>0</v>
      </c>
      <c r="I601" s="788">
        <f t="shared" si="34"/>
        <v>0</v>
      </c>
      <c r="J601" s="788"/>
      <c r="K601" s="808"/>
      <c r="L601" s="792"/>
      <c r="M601" s="808"/>
      <c r="N601" s="792"/>
      <c r="O601" s="792"/>
    </row>
    <row r="602" spans="3:15">
      <c r="C602" s="784">
        <f>IF(D542="","-",+C601+1)</f>
        <v>2070</v>
      </c>
      <c r="D602" s="732">
        <f t="shared" si="30"/>
        <v>0</v>
      </c>
      <c r="E602" s="785">
        <f t="shared" si="35"/>
        <v>0</v>
      </c>
      <c r="F602" s="732">
        <f t="shared" si="31"/>
        <v>0</v>
      </c>
      <c r="G602" s="790">
        <f t="shared" si="32"/>
        <v>0</v>
      </c>
      <c r="H602" s="791">
        <f t="shared" si="33"/>
        <v>0</v>
      </c>
      <c r="I602" s="788">
        <f t="shared" si="34"/>
        <v>0</v>
      </c>
      <c r="J602" s="788"/>
      <c r="K602" s="808"/>
      <c r="L602" s="792"/>
      <c r="M602" s="808"/>
      <c r="N602" s="792"/>
      <c r="O602" s="792"/>
    </row>
    <row r="603" spans="3:15">
      <c r="C603" s="784">
        <f>IF(D542="","-",+C602+1)</f>
        <v>2071</v>
      </c>
      <c r="D603" s="732">
        <f t="shared" si="30"/>
        <v>0</v>
      </c>
      <c r="E603" s="785">
        <f t="shared" si="35"/>
        <v>0</v>
      </c>
      <c r="F603" s="732">
        <f t="shared" si="31"/>
        <v>0</v>
      </c>
      <c r="G603" s="790">
        <f t="shared" si="32"/>
        <v>0</v>
      </c>
      <c r="H603" s="791">
        <f t="shared" si="33"/>
        <v>0</v>
      </c>
      <c r="I603" s="788">
        <f t="shared" si="34"/>
        <v>0</v>
      </c>
      <c r="J603" s="788"/>
      <c r="K603" s="808"/>
      <c r="L603" s="792"/>
      <c r="M603" s="808"/>
      <c r="N603" s="792"/>
      <c r="O603" s="792"/>
    </row>
    <row r="604" spans="3:15">
      <c r="C604" s="784">
        <f>IF(D542="","-",+C603+1)</f>
        <v>2072</v>
      </c>
      <c r="D604" s="732">
        <f t="shared" si="30"/>
        <v>0</v>
      </c>
      <c r="E604" s="785">
        <f t="shared" si="35"/>
        <v>0</v>
      </c>
      <c r="F604" s="732">
        <f t="shared" si="31"/>
        <v>0</v>
      </c>
      <c r="G604" s="790">
        <f t="shared" si="32"/>
        <v>0</v>
      </c>
      <c r="H604" s="791">
        <f t="shared" si="33"/>
        <v>0</v>
      </c>
      <c r="I604" s="788">
        <f t="shared" si="34"/>
        <v>0</v>
      </c>
      <c r="J604" s="788"/>
      <c r="K604" s="808"/>
      <c r="L604" s="792"/>
      <c r="M604" s="808"/>
      <c r="N604" s="792"/>
      <c r="O604" s="792"/>
    </row>
    <row r="605" spans="3:15">
      <c r="C605" s="784">
        <f>IF(D542="","-",+C604+1)</f>
        <v>2073</v>
      </c>
      <c r="D605" s="732">
        <f t="shared" si="30"/>
        <v>0</v>
      </c>
      <c r="E605" s="785">
        <f t="shared" si="35"/>
        <v>0</v>
      </c>
      <c r="F605" s="732">
        <f t="shared" si="31"/>
        <v>0</v>
      </c>
      <c r="G605" s="790">
        <f t="shared" si="32"/>
        <v>0</v>
      </c>
      <c r="H605" s="791">
        <f t="shared" si="33"/>
        <v>0</v>
      </c>
      <c r="I605" s="788">
        <f t="shared" si="34"/>
        <v>0</v>
      </c>
      <c r="J605" s="788"/>
      <c r="K605" s="808"/>
      <c r="L605" s="792"/>
      <c r="M605" s="808"/>
      <c r="N605" s="792"/>
      <c r="O605" s="792"/>
    </row>
    <row r="606" spans="3:15">
      <c r="C606" s="784">
        <f>IF(D542="","-",+C605+1)</f>
        <v>2074</v>
      </c>
      <c r="D606" s="732">
        <f t="shared" si="30"/>
        <v>0</v>
      </c>
      <c r="E606" s="785">
        <f t="shared" si="35"/>
        <v>0</v>
      </c>
      <c r="F606" s="732">
        <f t="shared" si="31"/>
        <v>0</v>
      </c>
      <c r="G606" s="790">
        <f t="shared" si="32"/>
        <v>0</v>
      </c>
      <c r="H606" s="791">
        <f t="shared" si="33"/>
        <v>0</v>
      </c>
      <c r="I606" s="788">
        <f t="shared" si="34"/>
        <v>0</v>
      </c>
      <c r="J606" s="788"/>
      <c r="K606" s="808"/>
      <c r="L606" s="792"/>
      <c r="M606" s="808"/>
      <c r="N606" s="792"/>
      <c r="O606" s="792"/>
    </row>
    <row r="607" spans="3:15" ht="13.5" thickBot="1">
      <c r="C607" s="794">
        <f>IF(D542="","-",+C606+1)</f>
        <v>2075</v>
      </c>
      <c r="D607" s="795">
        <f t="shared" si="30"/>
        <v>0</v>
      </c>
      <c r="E607" s="796">
        <f t="shared" si="35"/>
        <v>0</v>
      </c>
      <c r="F607" s="795">
        <f t="shared" si="31"/>
        <v>0</v>
      </c>
      <c r="G607" s="797">
        <f t="shared" si="32"/>
        <v>0</v>
      </c>
      <c r="H607" s="797">
        <f t="shared" si="33"/>
        <v>0</v>
      </c>
      <c r="I607" s="798">
        <f t="shared" si="34"/>
        <v>0</v>
      </c>
      <c r="J607" s="788"/>
      <c r="K607" s="809"/>
      <c r="L607" s="799"/>
      <c r="M607" s="809"/>
      <c r="N607" s="799"/>
      <c r="O607" s="799"/>
    </row>
    <row r="608" spans="3:15">
      <c r="C608" s="732" t="s">
        <v>93</v>
      </c>
      <c r="D608" s="726"/>
      <c r="E608" s="726">
        <f>SUM(E548:E607)</f>
        <v>52114616.999999993</v>
      </c>
      <c r="F608" s="726"/>
      <c r="G608" s="726">
        <f>SUM(G548:G607)</f>
        <v>175669424.42318952</v>
      </c>
      <c r="H608" s="726">
        <f>SUM(H548:H607)</f>
        <v>175669424.42318952</v>
      </c>
      <c r="I608" s="726">
        <f>SUM(I548:I607)</f>
        <v>0</v>
      </c>
      <c r="J608" s="726"/>
      <c r="K608" s="726"/>
      <c r="L608" s="726"/>
      <c r="M608" s="726"/>
      <c r="N608" s="726"/>
      <c r="O608" s="313"/>
    </row>
    <row r="609" spans="1:16">
      <c r="D609" s="534"/>
      <c r="E609" s="313"/>
      <c r="F609" s="313"/>
      <c r="G609" s="313"/>
      <c r="H609" s="704"/>
      <c r="I609" s="704"/>
      <c r="J609" s="726"/>
      <c r="K609" s="704"/>
      <c r="L609" s="704"/>
      <c r="M609" s="704"/>
      <c r="N609" s="704"/>
      <c r="O609" s="313"/>
    </row>
    <row r="610" spans="1:16">
      <c r="C610" s="313" t="s">
        <v>15</v>
      </c>
      <c r="D610" s="534"/>
      <c r="E610" s="313"/>
      <c r="F610" s="313"/>
      <c r="G610" s="313"/>
      <c r="H610" s="704"/>
      <c r="I610" s="704"/>
      <c r="J610" s="726"/>
      <c r="K610" s="704"/>
      <c r="L610" s="704"/>
      <c r="M610" s="704"/>
      <c r="N610" s="704"/>
      <c r="O610" s="313"/>
    </row>
    <row r="611" spans="1:16">
      <c r="C611" s="313"/>
      <c r="D611" s="534"/>
      <c r="E611" s="313"/>
      <c r="F611" s="313"/>
      <c r="G611" s="313"/>
      <c r="H611" s="704"/>
      <c r="I611" s="704"/>
      <c r="J611" s="726"/>
      <c r="K611" s="704"/>
      <c r="L611" s="704"/>
      <c r="M611" s="704"/>
      <c r="N611" s="704"/>
      <c r="O611" s="313"/>
    </row>
    <row r="612" spans="1:16">
      <c r="C612" s="745" t="s">
        <v>16</v>
      </c>
      <c r="D612" s="732"/>
      <c r="E612" s="732"/>
      <c r="F612" s="732"/>
      <c r="G612" s="726"/>
      <c r="H612" s="726"/>
      <c r="I612" s="800"/>
      <c r="J612" s="800"/>
      <c r="K612" s="800"/>
      <c r="L612" s="800"/>
      <c r="M612" s="800"/>
      <c r="N612" s="800"/>
      <c r="O612" s="313"/>
    </row>
    <row r="613" spans="1:16">
      <c r="C613" s="731" t="s">
        <v>273</v>
      </c>
      <c r="D613" s="732"/>
      <c r="E613" s="732"/>
      <c r="F613" s="732"/>
      <c r="G613" s="726"/>
      <c r="H613" s="726"/>
      <c r="I613" s="800"/>
      <c r="J613" s="800"/>
      <c r="K613" s="800"/>
      <c r="L613" s="800"/>
      <c r="M613" s="800"/>
      <c r="N613" s="800"/>
      <c r="O613" s="313"/>
    </row>
    <row r="614" spans="1:16">
      <c r="C614" s="731" t="s">
        <v>94</v>
      </c>
      <c r="D614" s="732"/>
      <c r="E614" s="732"/>
      <c r="F614" s="732"/>
      <c r="G614" s="726"/>
      <c r="H614" s="726"/>
      <c r="I614" s="800"/>
      <c r="J614" s="800"/>
      <c r="K614" s="800"/>
      <c r="L614" s="800"/>
      <c r="M614" s="800"/>
      <c r="N614" s="800"/>
      <c r="O614" s="313"/>
    </row>
    <row r="615" spans="1:16">
      <c r="C615" s="731"/>
      <c r="D615" s="732"/>
      <c r="E615" s="732"/>
      <c r="F615" s="732"/>
      <c r="G615" s="726"/>
      <c r="H615" s="726"/>
      <c r="I615" s="800"/>
      <c r="J615" s="800"/>
      <c r="K615" s="800"/>
      <c r="L615" s="800"/>
      <c r="M615" s="800"/>
      <c r="N615" s="800"/>
      <c r="O615" s="313"/>
    </row>
    <row r="616" spans="1:16">
      <c r="C616" s="1556" t="s">
        <v>8</v>
      </c>
      <c r="D616" s="1556"/>
      <c r="E616" s="1556"/>
      <c r="F616" s="1556"/>
      <c r="G616" s="1556"/>
      <c r="H616" s="1556"/>
      <c r="I616" s="1556"/>
      <c r="J616" s="1556"/>
      <c r="K616" s="1556"/>
      <c r="L616" s="1556"/>
      <c r="M616" s="1556"/>
      <c r="N616" s="1556"/>
      <c r="O616" s="1556"/>
    </row>
    <row r="617" spans="1:16">
      <c r="C617" s="1556"/>
      <c r="D617" s="1556"/>
      <c r="E617" s="1556"/>
      <c r="F617" s="1556"/>
      <c r="G617" s="1556"/>
      <c r="H617" s="1556"/>
      <c r="I617" s="1556"/>
      <c r="J617" s="1556"/>
      <c r="K617" s="1556"/>
      <c r="L617" s="1556"/>
      <c r="M617" s="1556"/>
      <c r="N617" s="1556"/>
      <c r="O617" s="1556"/>
    </row>
    <row r="618" spans="1:16" ht="20.25">
      <c r="A618" s="733" t="str">
        <f>""&amp;A542&amp;" Worksheet J -  ATRR PROJECTED Calculation for PJM Projects Charged to Benefiting Zones"</f>
        <v xml:space="preserve"> Worksheet J -  ATRR PROJECTED Calculation for PJM Projects Charged to Benefiting Zones</v>
      </c>
      <c r="B618" s="346"/>
      <c r="C618" s="721"/>
      <c r="D618" s="534"/>
      <c r="E618" s="313"/>
      <c r="F618" s="703"/>
      <c r="G618" s="313"/>
      <c r="H618" s="704"/>
      <c r="K618" s="560"/>
      <c r="L618" s="560"/>
      <c r="M618" s="560"/>
      <c r="N618" s="649" t="str">
        <f>"Page "&amp;SUM(P$8:P618)&amp;" of "</f>
        <v xml:space="preserve">Page 8 of </v>
      </c>
      <c r="O618" s="650">
        <f>COUNT(P$8:P$56656)</f>
        <v>11</v>
      </c>
      <c r="P618" s="173">
        <v>1</v>
      </c>
    </row>
    <row r="619" spans="1:16" ht="20.25">
      <c r="A619" s="733"/>
      <c r="B619" s="346"/>
      <c r="C619" s="721"/>
      <c r="D619" s="534"/>
      <c r="E619" s="313"/>
      <c r="F619" s="703"/>
      <c r="G619" s="313"/>
      <c r="H619" s="704"/>
      <c r="K619" s="560"/>
      <c r="L619" s="560"/>
      <c r="M619" s="560"/>
      <c r="N619" s="649"/>
      <c r="O619" s="650"/>
    </row>
    <row r="620" spans="1:16" ht="18">
      <c r="B620" s="653" t="s">
        <v>474</v>
      </c>
      <c r="C620" s="735" t="s">
        <v>95</v>
      </c>
      <c r="D620" s="534"/>
      <c r="E620" s="313"/>
      <c r="F620" s="313"/>
      <c r="G620" s="313"/>
      <c r="H620" s="704"/>
      <c r="I620" s="704"/>
      <c r="J620" s="726"/>
      <c r="K620" s="704"/>
      <c r="L620" s="704"/>
      <c r="M620" s="704"/>
      <c r="N620" s="704"/>
      <c r="O620" s="313"/>
    </row>
    <row r="621" spans="1:16" ht="18.75">
      <c r="B621" s="653"/>
      <c r="C621" s="652"/>
      <c r="D621" s="534"/>
      <c r="E621" s="313"/>
      <c r="F621" s="313"/>
      <c r="G621" s="313"/>
      <c r="H621" s="704"/>
      <c r="I621" s="704"/>
      <c r="J621" s="726"/>
      <c r="K621" s="704"/>
      <c r="L621" s="704"/>
      <c r="M621" s="704"/>
      <c r="N621" s="704"/>
      <c r="O621" s="313"/>
    </row>
    <row r="622" spans="1:16" ht="18.75">
      <c r="B622" s="653"/>
      <c r="C622" s="652" t="s">
        <v>96</v>
      </c>
      <c r="D622" s="534"/>
      <c r="E622" s="313"/>
      <c r="F622" s="313"/>
      <c r="G622" s="313"/>
      <c r="H622" s="704"/>
      <c r="I622" s="704"/>
      <c r="J622" s="726"/>
      <c r="K622" s="704"/>
      <c r="L622" s="704"/>
      <c r="M622" s="704"/>
      <c r="N622" s="704"/>
      <c r="O622" s="313"/>
    </row>
    <row r="623" spans="1:16" ht="15.75" thickBot="1">
      <c r="C623" s="240"/>
      <c r="D623" s="534"/>
      <c r="E623" s="313"/>
      <c r="F623" s="313"/>
      <c r="G623" s="313"/>
      <c r="H623" s="704"/>
      <c r="I623" s="704"/>
      <c r="J623" s="726"/>
      <c r="K623" s="704"/>
      <c r="L623" s="704"/>
      <c r="M623" s="704"/>
      <c r="N623" s="704"/>
      <c r="O623" s="313"/>
    </row>
    <row r="624" spans="1:16" ht="15.75">
      <c r="C624" s="655" t="s">
        <v>97</v>
      </c>
      <c r="D624" s="534"/>
      <c r="E624" s="313"/>
      <c r="F624" s="313"/>
      <c r="G624" s="802"/>
      <c r="H624" s="313" t="s">
        <v>76</v>
      </c>
      <c r="I624" s="313"/>
      <c r="J624" s="423"/>
      <c r="K624" s="736" t="s">
        <v>101</v>
      </c>
      <c r="L624" s="737"/>
      <c r="M624" s="738"/>
      <c r="N624" s="739">
        <f>IF(I630=0,0,VLOOKUP(I630,C637:O696,5))</f>
        <v>6418777.0217047837</v>
      </c>
      <c r="O624" s="313"/>
    </row>
    <row r="625" spans="2:15" ht="15.75">
      <c r="C625" s="655"/>
      <c r="D625" s="534"/>
      <c r="E625" s="313"/>
      <c r="F625" s="313"/>
      <c r="G625" s="313"/>
      <c r="H625" s="740"/>
      <c r="I625" s="740"/>
      <c r="J625" s="741"/>
      <c r="K625" s="742" t="s">
        <v>102</v>
      </c>
      <c r="L625" s="743"/>
      <c r="M625" s="423"/>
      <c r="N625" s="744">
        <f>IF(I630=0,0,VLOOKUP(I630,C637:O696,6))</f>
        <v>6418777.0217047837</v>
      </c>
      <c r="O625" s="313"/>
    </row>
    <row r="626" spans="2:15" ht="13.5" thickBot="1">
      <c r="C626" s="745" t="s">
        <v>98</v>
      </c>
      <c r="D626" s="1557" t="s">
        <v>823</v>
      </c>
      <c r="E626" s="1557"/>
      <c r="F626" s="1557"/>
      <c r="G626" s="1557"/>
      <c r="H626" s="1557"/>
      <c r="I626" s="1557"/>
      <c r="J626" s="726"/>
      <c r="K626" s="746" t="s">
        <v>240</v>
      </c>
      <c r="L626" s="747"/>
      <c r="M626" s="747"/>
      <c r="N626" s="748">
        <f>+N625-N624</f>
        <v>0</v>
      </c>
      <c r="O626" s="313"/>
    </row>
    <row r="627" spans="2:15">
      <c r="C627" s="749"/>
      <c r="D627" s="1557"/>
      <c r="E627" s="1557"/>
      <c r="F627" s="1557"/>
      <c r="G627" s="1557"/>
      <c r="H627" s="1557"/>
      <c r="I627" s="1557"/>
      <c r="J627" s="726"/>
      <c r="K627" s="704"/>
      <c r="L627" s="704"/>
      <c r="M627" s="704"/>
      <c r="N627" s="704"/>
      <c r="O627" s="313"/>
    </row>
    <row r="628" spans="2:15" ht="13.5" thickBot="1">
      <c r="C628" s="752"/>
      <c r="D628" s="753"/>
      <c r="E628" s="751"/>
      <c r="F628" s="751"/>
      <c r="G628" s="751"/>
      <c r="H628" s="751"/>
      <c r="I628" s="751"/>
      <c r="J628" s="754"/>
      <c r="K628" s="751"/>
      <c r="L628" s="751"/>
      <c r="M628" s="751"/>
      <c r="N628" s="751"/>
      <c r="O628" s="346"/>
    </row>
    <row r="629" spans="2:15" ht="13.5" thickBot="1">
      <c r="C629" s="755" t="s">
        <v>99</v>
      </c>
      <c r="D629" s="756"/>
      <c r="E629" s="756"/>
      <c r="F629" s="756"/>
      <c r="G629" s="756"/>
      <c r="H629" s="756"/>
      <c r="I629" s="757"/>
      <c r="J629" s="758"/>
      <c r="K629" s="313"/>
      <c r="L629" s="313"/>
      <c r="M629" s="313"/>
      <c r="N629" s="313"/>
      <c r="O629" s="759"/>
    </row>
    <row r="630" spans="2:15" ht="15">
      <c r="C630" s="760" t="s">
        <v>77</v>
      </c>
      <c r="D630" s="804">
        <v>50167493</v>
      </c>
      <c r="E630" s="721" t="s">
        <v>78</v>
      </c>
      <c r="G630" s="761"/>
      <c r="H630" s="761"/>
      <c r="I630" s="762">
        <f>$L$26</f>
        <v>2021</v>
      </c>
      <c r="J630" s="550"/>
      <c r="K630" s="1558" t="s">
        <v>249</v>
      </c>
      <c r="L630" s="1558"/>
      <c r="M630" s="1558"/>
      <c r="N630" s="1558"/>
      <c r="O630" s="1558"/>
    </row>
    <row r="631" spans="2:15">
      <c r="C631" s="760" t="s">
        <v>80</v>
      </c>
      <c r="D631" s="805">
        <v>2016</v>
      </c>
      <c r="E631" s="760" t="s">
        <v>81</v>
      </c>
      <c r="F631" s="761"/>
      <c r="H631" s="173"/>
      <c r="I631" s="806">
        <f>IF(G624="",0,$F$17)</f>
        <v>0</v>
      </c>
      <c r="J631" s="763"/>
      <c r="K631" s="726" t="s">
        <v>249</v>
      </c>
    </row>
    <row r="632" spans="2:15">
      <c r="C632" s="760" t="s">
        <v>82</v>
      </c>
      <c r="D632" s="804">
        <v>12</v>
      </c>
      <c r="E632" s="760" t="s">
        <v>83</v>
      </c>
      <c r="F632" s="761"/>
      <c r="H632" s="173"/>
      <c r="I632" s="764">
        <f>$G$70</f>
        <v>0.11565015966136639</v>
      </c>
      <c r="J632" s="765"/>
      <c r="K632" s="173" t="str">
        <f>"          INPUT PROJECTED ARR (WITH &amp; WITHOUT INCENTIVES) FROM EACH PRIOR YEAR"</f>
        <v xml:space="preserve">          INPUT PROJECTED ARR (WITH &amp; WITHOUT INCENTIVES) FROM EACH PRIOR YEAR</v>
      </c>
    </row>
    <row r="633" spans="2:15">
      <c r="C633" s="760" t="s">
        <v>84</v>
      </c>
      <c r="D633" s="766">
        <f>$G$79</f>
        <v>39</v>
      </c>
      <c r="E633" s="760" t="s">
        <v>85</v>
      </c>
      <c r="F633" s="761"/>
      <c r="H633" s="173"/>
      <c r="I633" s="764">
        <f>IF(G624="",I632,$G$69)</f>
        <v>0.11565015966136639</v>
      </c>
      <c r="J633" s="767"/>
      <c r="K633" s="173" t="s">
        <v>162</v>
      </c>
    </row>
    <row r="634" spans="2:15" ht="13.5" thickBot="1">
      <c r="C634" s="760" t="s">
        <v>86</v>
      </c>
      <c r="D634" s="803" t="s">
        <v>814</v>
      </c>
      <c r="E634" s="768" t="s">
        <v>87</v>
      </c>
      <c r="F634" s="769"/>
      <c r="G634" s="770"/>
      <c r="H634" s="770"/>
      <c r="I634" s="748">
        <f>IF(D630=0,0,D630/D633)</f>
        <v>1286345.9743589743</v>
      </c>
      <c r="J634" s="726"/>
      <c r="K634" s="726" t="s">
        <v>168</v>
      </c>
      <c r="L634" s="726"/>
      <c r="M634" s="726"/>
      <c r="N634" s="726"/>
      <c r="O634" s="423"/>
    </row>
    <row r="635" spans="2:15" ht="51">
      <c r="B635" s="841"/>
      <c r="C635" s="771" t="s">
        <v>77</v>
      </c>
      <c r="D635" s="772" t="s">
        <v>88</v>
      </c>
      <c r="E635" s="773" t="s">
        <v>89</v>
      </c>
      <c r="F635" s="772" t="s">
        <v>90</v>
      </c>
      <c r="G635" s="773" t="s">
        <v>161</v>
      </c>
      <c r="H635" s="774" t="s">
        <v>161</v>
      </c>
      <c r="I635" s="771" t="s">
        <v>100</v>
      </c>
      <c r="J635" s="775"/>
      <c r="K635" s="773" t="s">
        <v>170</v>
      </c>
      <c r="L635" s="776"/>
      <c r="M635" s="773" t="s">
        <v>170</v>
      </c>
      <c r="N635" s="776"/>
      <c r="O635" s="776"/>
    </row>
    <row r="636" spans="2:15" ht="13.5" thickBot="1">
      <c r="C636" s="777" t="s">
        <v>477</v>
      </c>
      <c r="D636" s="778" t="s">
        <v>478</v>
      </c>
      <c r="E636" s="777" t="s">
        <v>371</v>
      </c>
      <c r="F636" s="778" t="s">
        <v>478</v>
      </c>
      <c r="G636" s="779" t="s">
        <v>103</v>
      </c>
      <c r="H636" s="780" t="s">
        <v>105</v>
      </c>
      <c r="I636" s="781" t="s">
        <v>17</v>
      </c>
      <c r="J636" s="782"/>
      <c r="K636" s="779" t="s">
        <v>92</v>
      </c>
      <c r="L636" s="783"/>
      <c r="M636" s="779" t="s">
        <v>105</v>
      </c>
      <c r="N636" s="783"/>
      <c r="O636" s="783"/>
    </row>
    <row r="637" spans="2:15">
      <c r="C637" s="784">
        <f>IF(D631= "","-",D631)</f>
        <v>2016</v>
      </c>
      <c r="D637" s="732">
        <f>+D630</f>
        <v>50167493</v>
      </c>
      <c r="E637" s="785">
        <f>+I634/12*(12-D632)</f>
        <v>0</v>
      </c>
      <c r="F637" s="732">
        <f>+D637-E637</f>
        <v>50167493</v>
      </c>
      <c r="G637" s="993">
        <f>+$I$96*((D637+F637)/2)+E637</f>
        <v>5801878.5752604809</v>
      </c>
      <c r="H637" s="994">
        <f>$I$97*((D637+F637)/2)+E637</f>
        <v>5801878.5752604809</v>
      </c>
      <c r="I637" s="788">
        <f>+H637-G637</f>
        <v>0</v>
      </c>
      <c r="J637" s="788"/>
      <c r="K637" s="807">
        <v>4514116</v>
      </c>
      <c r="L637" s="789"/>
      <c r="M637" s="807">
        <v>4514116</v>
      </c>
      <c r="N637" s="789"/>
      <c r="O637" s="789"/>
    </row>
    <row r="638" spans="2:15">
      <c r="C638" s="784">
        <f>IF(D631="","-",+C637+1)</f>
        <v>2017</v>
      </c>
      <c r="D638" s="732">
        <f t="shared" ref="D638:D696" si="36">F637</f>
        <v>50167493</v>
      </c>
      <c r="E638" s="785">
        <f>IF(D638&gt;$I$634,$I$634,D638)</f>
        <v>1286345.9743589743</v>
      </c>
      <c r="F638" s="732">
        <f t="shared" ref="F638:F696" si="37">+D638-E638</f>
        <v>48881147.025641024</v>
      </c>
      <c r="G638" s="790">
        <f t="shared" ref="G638:G696" si="38">+$I$96*((D638+F638)/2)+E638</f>
        <v>7013841.4909622697</v>
      </c>
      <c r="H638" s="791">
        <f t="shared" ref="H638:H696" si="39">$I$97*((D638+F638)/2)+E638</f>
        <v>7013841.4909622697</v>
      </c>
      <c r="I638" s="788">
        <f t="shared" ref="I638:I696" si="40">+H638-G638</f>
        <v>0</v>
      </c>
      <c r="J638" s="788"/>
      <c r="K638" s="808">
        <v>7261914</v>
      </c>
      <c r="L638" s="792"/>
      <c r="M638" s="808">
        <v>7261914</v>
      </c>
      <c r="N638" s="792"/>
      <c r="O638" s="792"/>
    </row>
    <row r="639" spans="2:15">
      <c r="C639" s="1327">
        <f>IF(D631="","-",+C638+1)</f>
        <v>2018</v>
      </c>
      <c r="D639" s="732">
        <f t="shared" si="36"/>
        <v>48881147.025641024</v>
      </c>
      <c r="E639" s="785">
        <f t="shared" ref="E639:E696" si="41">IF(D639&gt;$I$634,$I$634,D639)</f>
        <v>1286345.9743589743</v>
      </c>
      <c r="F639" s="732">
        <f t="shared" si="37"/>
        <v>47594801.051282048</v>
      </c>
      <c r="G639" s="790">
        <f t="shared" si="38"/>
        <v>6865075.3736478975</v>
      </c>
      <c r="H639" s="791">
        <f t="shared" si="39"/>
        <v>6865075.3736478975</v>
      </c>
      <c r="I639" s="788">
        <f t="shared" si="40"/>
        <v>0</v>
      </c>
      <c r="J639" s="788"/>
      <c r="K639" s="808">
        <v>5720037</v>
      </c>
      <c r="L639" s="792"/>
      <c r="M639" s="808">
        <v>5720037</v>
      </c>
      <c r="N639" s="792"/>
      <c r="O639" s="792"/>
    </row>
    <row r="640" spans="2:15">
      <c r="C640" s="1304">
        <f>IF(D631="","-",+C639+1)</f>
        <v>2019</v>
      </c>
      <c r="D640" s="732">
        <f t="shared" si="36"/>
        <v>47594801.051282048</v>
      </c>
      <c r="E640" s="785">
        <f t="shared" si="41"/>
        <v>1286345.9743589743</v>
      </c>
      <c r="F640" s="732">
        <f t="shared" si="37"/>
        <v>46308455.076923072</v>
      </c>
      <c r="G640" s="790">
        <f t="shared" si="38"/>
        <v>6716309.2563335262</v>
      </c>
      <c r="H640" s="791">
        <f t="shared" si="39"/>
        <v>6716309.2563335262</v>
      </c>
      <c r="I640" s="788">
        <f t="shared" si="40"/>
        <v>0</v>
      </c>
      <c r="J640" s="788"/>
      <c r="K640" s="808"/>
      <c r="L640" s="792"/>
      <c r="M640" s="808"/>
      <c r="N640" s="792"/>
      <c r="O640" s="792"/>
    </row>
    <row r="641" spans="3:15">
      <c r="C641" s="1305">
        <f>IF(D631="","-",+C640+1)</f>
        <v>2020</v>
      </c>
      <c r="D641" s="732">
        <f t="shared" si="36"/>
        <v>46308455.076923072</v>
      </c>
      <c r="E641" s="785">
        <f t="shared" si="41"/>
        <v>1286345.9743589743</v>
      </c>
      <c r="F641" s="732">
        <f t="shared" si="37"/>
        <v>45022109.102564096</v>
      </c>
      <c r="G641" s="790">
        <f t="shared" si="38"/>
        <v>6567543.1390191549</v>
      </c>
      <c r="H641" s="791">
        <f t="shared" si="39"/>
        <v>6567543.1390191549</v>
      </c>
      <c r="I641" s="788">
        <f t="shared" si="40"/>
        <v>0</v>
      </c>
      <c r="J641" s="788"/>
      <c r="K641" s="808"/>
      <c r="L641" s="792"/>
      <c r="M641" s="808"/>
      <c r="N641" s="792"/>
      <c r="O641" s="792"/>
    </row>
    <row r="642" spans="3:15">
      <c r="C642" s="1305">
        <f>IF(D631="","-",+C641+1)</f>
        <v>2021</v>
      </c>
      <c r="D642" s="732">
        <f t="shared" si="36"/>
        <v>45022109.102564096</v>
      </c>
      <c r="E642" s="785">
        <f t="shared" si="41"/>
        <v>1286345.9743589743</v>
      </c>
      <c r="F642" s="732">
        <f t="shared" si="37"/>
        <v>43735763.128205121</v>
      </c>
      <c r="G642" s="790">
        <f t="shared" si="38"/>
        <v>6418777.0217047837</v>
      </c>
      <c r="H642" s="791">
        <f t="shared" si="39"/>
        <v>6418777.0217047837</v>
      </c>
      <c r="I642" s="788">
        <f t="shared" si="40"/>
        <v>0</v>
      </c>
      <c r="J642" s="788"/>
      <c r="K642" s="808"/>
      <c r="L642" s="792"/>
      <c r="M642" s="808"/>
      <c r="N642" s="792"/>
      <c r="O642" s="792"/>
    </row>
    <row r="643" spans="3:15">
      <c r="C643" s="784">
        <f>IF(D631="","-",+C642+1)</f>
        <v>2022</v>
      </c>
      <c r="D643" s="732">
        <f t="shared" si="36"/>
        <v>43735763.128205121</v>
      </c>
      <c r="E643" s="785">
        <f t="shared" si="41"/>
        <v>1286345.9743589743</v>
      </c>
      <c r="F643" s="732">
        <f t="shared" si="37"/>
        <v>42449417.153846145</v>
      </c>
      <c r="G643" s="790">
        <f t="shared" si="38"/>
        <v>6270010.9043904115</v>
      </c>
      <c r="H643" s="791">
        <f t="shared" si="39"/>
        <v>6270010.9043904115</v>
      </c>
      <c r="I643" s="788">
        <f t="shared" si="40"/>
        <v>0</v>
      </c>
      <c r="J643" s="788"/>
      <c r="K643" s="808"/>
      <c r="L643" s="792"/>
      <c r="M643" s="808"/>
      <c r="N643" s="792"/>
      <c r="O643" s="792"/>
    </row>
    <row r="644" spans="3:15">
      <c r="C644" s="784">
        <f>IF(D631="","-",+C643+1)</f>
        <v>2023</v>
      </c>
      <c r="D644" s="732">
        <f t="shared" si="36"/>
        <v>42449417.153846145</v>
      </c>
      <c r="E644" s="785">
        <f t="shared" si="41"/>
        <v>1286345.9743589743</v>
      </c>
      <c r="F644" s="732">
        <f t="shared" si="37"/>
        <v>41163071.179487169</v>
      </c>
      <c r="G644" s="790">
        <f t="shared" si="38"/>
        <v>6121244.7870760402</v>
      </c>
      <c r="H644" s="791">
        <f t="shared" si="39"/>
        <v>6121244.7870760402</v>
      </c>
      <c r="I644" s="788">
        <f t="shared" si="40"/>
        <v>0</v>
      </c>
      <c r="J644" s="788"/>
      <c r="K644" s="808"/>
      <c r="L644" s="792"/>
      <c r="M644" s="808"/>
      <c r="N644" s="792"/>
      <c r="O644" s="792"/>
    </row>
    <row r="645" spans="3:15">
      <c r="C645" s="784">
        <f>IF(D631="","-",+C644+1)</f>
        <v>2024</v>
      </c>
      <c r="D645" s="732">
        <f t="shared" si="36"/>
        <v>41163071.179487169</v>
      </c>
      <c r="E645" s="785">
        <f t="shared" si="41"/>
        <v>1286345.9743589743</v>
      </c>
      <c r="F645" s="732">
        <f t="shared" si="37"/>
        <v>39876725.205128193</v>
      </c>
      <c r="G645" s="790">
        <f t="shared" si="38"/>
        <v>5972478.6697616689</v>
      </c>
      <c r="H645" s="791">
        <f t="shared" si="39"/>
        <v>5972478.6697616689</v>
      </c>
      <c r="I645" s="788">
        <f t="shared" si="40"/>
        <v>0</v>
      </c>
      <c r="J645" s="788"/>
      <c r="K645" s="808"/>
      <c r="L645" s="792"/>
      <c r="M645" s="808"/>
      <c r="N645" s="792"/>
      <c r="O645" s="792"/>
    </row>
    <row r="646" spans="3:15">
      <c r="C646" s="784">
        <f>IF(D631="","-",+C645+1)</f>
        <v>2025</v>
      </c>
      <c r="D646" s="732">
        <f t="shared" si="36"/>
        <v>39876725.205128193</v>
      </c>
      <c r="E646" s="785">
        <f t="shared" si="41"/>
        <v>1286345.9743589743</v>
      </c>
      <c r="F646" s="732">
        <f t="shared" si="37"/>
        <v>38590379.230769217</v>
      </c>
      <c r="G646" s="790">
        <f t="shared" si="38"/>
        <v>5823712.5524472976</v>
      </c>
      <c r="H646" s="791">
        <f t="shared" si="39"/>
        <v>5823712.5524472976</v>
      </c>
      <c r="I646" s="788">
        <f t="shared" si="40"/>
        <v>0</v>
      </c>
      <c r="J646" s="788"/>
      <c r="K646" s="808"/>
      <c r="L646" s="792"/>
      <c r="M646" s="808"/>
      <c r="N646" s="792"/>
      <c r="O646" s="792"/>
    </row>
    <row r="647" spans="3:15">
      <c r="C647" s="784">
        <f>IF(D631="","-",+C646+1)</f>
        <v>2026</v>
      </c>
      <c r="D647" s="732">
        <f t="shared" si="36"/>
        <v>38590379.230769217</v>
      </c>
      <c r="E647" s="785">
        <f t="shared" si="41"/>
        <v>1286345.9743589743</v>
      </c>
      <c r="F647" s="732">
        <f t="shared" si="37"/>
        <v>37304033.256410241</v>
      </c>
      <c r="G647" s="790">
        <f t="shared" si="38"/>
        <v>5674946.4351329263</v>
      </c>
      <c r="H647" s="791">
        <f t="shared" si="39"/>
        <v>5674946.4351329263</v>
      </c>
      <c r="I647" s="788">
        <f t="shared" si="40"/>
        <v>0</v>
      </c>
      <c r="J647" s="788"/>
      <c r="K647" s="808"/>
      <c r="L647" s="792"/>
      <c r="M647" s="808"/>
      <c r="N647" s="792"/>
      <c r="O647" s="792"/>
    </row>
    <row r="648" spans="3:15">
      <c r="C648" s="784">
        <f>IF(D631="","-",+C647+1)</f>
        <v>2027</v>
      </c>
      <c r="D648" s="732">
        <f t="shared" si="36"/>
        <v>37304033.256410241</v>
      </c>
      <c r="E648" s="785">
        <f t="shared" si="41"/>
        <v>1286345.9743589743</v>
      </c>
      <c r="F648" s="732">
        <f t="shared" si="37"/>
        <v>36017687.282051265</v>
      </c>
      <c r="G648" s="790">
        <f t="shared" si="38"/>
        <v>5526180.3178185541</v>
      </c>
      <c r="H648" s="791">
        <f t="shared" si="39"/>
        <v>5526180.3178185541</v>
      </c>
      <c r="I648" s="788">
        <f t="shared" si="40"/>
        <v>0</v>
      </c>
      <c r="J648" s="788"/>
      <c r="K648" s="808"/>
      <c r="L648" s="792"/>
      <c r="M648" s="808"/>
      <c r="N648" s="792"/>
      <c r="O648" s="792"/>
    </row>
    <row r="649" spans="3:15">
      <c r="C649" s="784">
        <f>IF(D631="","-",+C648+1)</f>
        <v>2028</v>
      </c>
      <c r="D649" s="732">
        <f t="shared" si="36"/>
        <v>36017687.282051265</v>
      </c>
      <c r="E649" s="785">
        <f t="shared" si="41"/>
        <v>1286345.9743589743</v>
      </c>
      <c r="F649" s="732">
        <f t="shared" si="37"/>
        <v>34731341.307692289</v>
      </c>
      <c r="G649" s="790">
        <f t="shared" si="38"/>
        <v>5377414.2005041828</v>
      </c>
      <c r="H649" s="791">
        <f t="shared" si="39"/>
        <v>5377414.2005041828</v>
      </c>
      <c r="I649" s="788">
        <f t="shared" si="40"/>
        <v>0</v>
      </c>
      <c r="J649" s="788"/>
      <c r="K649" s="808"/>
      <c r="L649" s="792"/>
      <c r="M649" s="808"/>
      <c r="N649" s="793"/>
      <c r="O649" s="792"/>
    </row>
    <row r="650" spans="3:15">
      <c r="C650" s="784">
        <f>IF(D631="","-",+C649+1)</f>
        <v>2029</v>
      </c>
      <c r="D650" s="732">
        <f t="shared" si="36"/>
        <v>34731341.307692289</v>
      </c>
      <c r="E650" s="785">
        <f t="shared" si="41"/>
        <v>1286345.9743589743</v>
      </c>
      <c r="F650" s="732">
        <f t="shared" si="37"/>
        <v>33444995.333333313</v>
      </c>
      <c r="G650" s="790">
        <f t="shared" si="38"/>
        <v>5228648.0831898116</v>
      </c>
      <c r="H650" s="791">
        <f t="shared" si="39"/>
        <v>5228648.0831898116</v>
      </c>
      <c r="I650" s="788">
        <f t="shared" si="40"/>
        <v>0</v>
      </c>
      <c r="J650" s="788"/>
      <c r="K650" s="808"/>
      <c r="L650" s="792"/>
      <c r="M650" s="808"/>
      <c r="N650" s="792"/>
      <c r="O650" s="792"/>
    </row>
    <row r="651" spans="3:15">
      <c r="C651" s="784">
        <f>IF(D631="","-",+C650+1)</f>
        <v>2030</v>
      </c>
      <c r="D651" s="732">
        <f t="shared" si="36"/>
        <v>33444995.333333313</v>
      </c>
      <c r="E651" s="785">
        <f t="shared" si="41"/>
        <v>1286345.9743589743</v>
      </c>
      <c r="F651" s="732">
        <f t="shared" si="37"/>
        <v>32158649.358974338</v>
      </c>
      <c r="G651" s="790">
        <f t="shared" si="38"/>
        <v>5079881.9658754403</v>
      </c>
      <c r="H651" s="791">
        <f t="shared" si="39"/>
        <v>5079881.9658754403</v>
      </c>
      <c r="I651" s="788">
        <f t="shared" si="40"/>
        <v>0</v>
      </c>
      <c r="J651" s="788"/>
      <c r="K651" s="808"/>
      <c r="L651" s="792"/>
      <c r="M651" s="808"/>
      <c r="N651" s="792"/>
      <c r="O651" s="792"/>
    </row>
    <row r="652" spans="3:15">
      <c r="C652" s="784">
        <f>IF(D631="","-",+C651+1)</f>
        <v>2031</v>
      </c>
      <c r="D652" s="732">
        <f t="shared" si="36"/>
        <v>32158649.358974338</v>
      </c>
      <c r="E652" s="785">
        <f t="shared" si="41"/>
        <v>1286345.9743589743</v>
      </c>
      <c r="F652" s="732">
        <f t="shared" si="37"/>
        <v>30872303.384615362</v>
      </c>
      <c r="G652" s="790">
        <f t="shared" si="38"/>
        <v>4931115.848561069</v>
      </c>
      <c r="H652" s="791">
        <f t="shared" si="39"/>
        <v>4931115.848561069</v>
      </c>
      <c r="I652" s="788">
        <f t="shared" si="40"/>
        <v>0</v>
      </c>
      <c r="J652" s="788"/>
      <c r="K652" s="808"/>
      <c r="L652" s="792"/>
      <c r="M652" s="808"/>
      <c r="N652" s="792"/>
      <c r="O652" s="792"/>
    </row>
    <row r="653" spans="3:15">
      <c r="C653" s="784">
        <f>IF(D631="","-",+C652+1)</f>
        <v>2032</v>
      </c>
      <c r="D653" s="732">
        <f t="shared" si="36"/>
        <v>30872303.384615362</v>
      </c>
      <c r="E653" s="785">
        <f t="shared" si="41"/>
        <v>1286345.9743589743</v>
      </c>
      <c r="F653" s="732">
        <f t="shared" si="37"/>
        <v>29585957.410256386</v>
      </c>
      <c r="G653" s="790">
        <f t="shared" si="38"/>
        <v>4782349.7312466968</v>
      </c>
      <c r="H653" s="791">
        <f t="shared" si="39"/>
        <v>4782349.7312466968</v>
      </c>
      <c r="I653" s="788">
        <f t="shared" si="40"/>
        <v>0</v>
      </c>
      <c r="J653" s="788"/>
      <c r="K653" s="808"/>
      <c r="L653" s="792"/>
      <c r="M653" s="808"/>
      <c r="N653" s="792"/>
      <c r="O653" s="792"/>
    </row>
    <row r="654" spans="3:15">
      <c r="C654" s="784">
        <f>IF(D631="","-",+C653+1)</f>
        <v>2033</v>
      </c>
      <c r="D654" s="732">
        <f t="shared" si="36"/>
        <v>29585957.410256386</v>
      </c>
      <c r="E654" s="785">
        <f t="shared" si="41"/>
        <v>1286345.9743589743</v>
      </c>
      <c r="F654" s="732">
        <f t="shared" si="37"/>
        <v>28299611.43589741</v>
      </c>
      <c r="G654" s="790">
        <f t="shared" si="38"/>
        <v>4633583.6139323255</v>
      </c>
      <c r="H654" s="791">
        <f t="shared" si="39"/>
        <v>4633583.6139323255</v>
      </c>
      <c r="I654" s="788">
        <f t="shared" si="40"/>
        <v>0</v>
      </c>
      <c r="J654" s="788"/>
      <c r="K654" s="808"/>
      <c r="L654" s="792"/>
      <c r="M654" s="808"/>
      <c r="N654" s="792"/>
      <c r="O654" s="792"/>
    </row>
    <row r="655" spans="3:15">
      <c r="C655" s="784">
        <f>IF(D631="","-",+C654+1)</f>
        <v>2034</v>
      </c>
      <c r="D655" s="732">
        <f t="shared" si="36"/>
        <v>28299611.43589741</v>
      </c>
      <c r="E655" s="785">
        <f t="shared" si="41"/>
        <v>1286345.9743589743</v>
      </c>
      <c r="F655" s="732">
        <f t="shared" si="37"/>
        <v>27013265.461538434</v>
      </c>
      <c r="G655" s="790">
        <f t="shared" si="38"/>
        <v>4484817.4966179542</v>
      </c>
      <c r="H655" s="791">
        <f t="shared" si="39"/>
        <v>4484817.4966179542</v>
      </c>
      <c r="I655" s="788">
        <f t="shared" si="40"/>
        <v>0</v>
      </c>
      <c r="J655" s="788"/>
      <c r="K655" s="808"/>
      <c r="L655" s="792"/>
      <c r="M655" s="808"/>
      <c r="N655" s="792"/>
      <c r="O655" s="792"/>
    </row>
    <row r="656" spans="3:15">
      <c r="C656" s="784">
        <f>IF(D631="","-",+C655+1)</f>
        <v>2035</v>
      </c>
      <c r="D656" s="732">
        <f t="shared" si="36"/>
        <v>27013265.461538434</v>
      </c>
      <c r="E656" s="785">
        <f t="shared" si="41"/>
        <v>1286345.9743589743</v>
      </c>
      <c r="F656" s="732">
        <f t="shared" si="37"/>
        <v>25726919.487179458</v>
      </c>
      <c r="G656" s="790">
        <f t="shared" si="38"/>
        <v>4336051.3793035829</v>
      </c>
      <c r="H656" s="791">
        <f t="shared" si="39"/>
        <v>4336051.3793035829</v>
      </c>
      <c r="I656" s="788">
        <f t="shared" si="40"/>
        <v>0</v>
      </c>
      <c r="J656" s="788"/>
      <c r="K656" s="808"/>
      <c r="L656" s="792"/>
      <c r="M656" s="808"/>
      <c r="N656" s="792"/>
      <c r="O656" s="792"/>
    </row>
    <row r="657" spans="3:15">
      <c r="C657" s="784">
        <f>IF(D631="","-",+C656+1)</f>
        <v>2036</v>
      </c>
      <c r="D657" s="732">
        <f t="shared" si="36"/>
        <v>25726919.487179458</v>
      </c>
      <c r="E657" s="785">
        <f t="shared" si="41"/>
        <v>1286345.9743589743</v>
      </c>
      <c r="F657" s="732">
        <f t="shared" si="37"/>
        <v>24440573.512820482</v>
      </c>
      <c r="G657" s="790">
        <f t="shared" si="38"/>
        <v>4187285.2619892117</v>
      </c>
      <c r="H657" s="791">
        <f t="shared" si="39"/>
        <v>4187285.2619892117</v>
      </c>
      <c r="I657" s="788">
        <f t="shared" si="40"/>
        <v>0</v>
      </c>
      <c r="J657" s="788"/>
      <c r="K657" s="808"/>
      <c r="L657" s="792"/>
      <c r="M657" s="808"/>
      <c r="N657" s="792"/>
      <c r="O657" s="792"/>
    </row>
    <row r="658" spans="3:15">
      <c r="C658" s="784">
        <f>IF(D631="","-",+C657+1)</f>
        <v>2037</v>
      </c>
      <c r="D658" s="732">
        <f t="shared" si="36"/>
        <v>24440573.512820482</v>
      </c>
      <c r="E658" s="785">
        <f t="shared" si="41"/>
        <v>1286345.9743589743</v>
      </c>
      <c r="F658" s="732">
        <f t="shared" si="37"/>
        <v>23154227.538461506</v>
      </c>
      <c r="G658" s="790">
        <f t="shared" si="38"/>
        <v>4038519.1446748395</v>
      </c>
      <c r="H658" s="791">
        <f t="shared" si="39"/>
        <v>4038519.1446748395</v>
      </c>
      <c r="I658" s="788">
        <f t="shared" si="40"/>
        <v>0</v>
      </c>
      <c r="J658" s="788"/>
      <c r="K658" s="808"/>
      <c r="L658" s="792"/>
      <c r="M658" s="808"/>
      <c r="N658" s="792"/>
      <c r="O658" s="792"/>
    </row>
    <row r="659" spans="3:15">
      <c r="C659" s="784">
        <f>IF(D631="","-",+C658+1)</f>
        <v>2038</v>
      </c>
      <c r="D659" s="732">
        <f t="shared" si="36"/>
        <v>23154227.538461506</v>
      </c>
      <c r="E659" s="785">
        <f t="shared" si="41"/>
        <v>1286345.9743589743</v>
      </c>
      <c r="F659" s="732">
        <f t="shared" si="37"/>
        <v>21867881.56410253</v>
      </c>
      <c r="G659" s="790">
        <f t="shared" si="38"/>
        <v>3889753.0273604682</v>
      </c>
      <c r="H659" s="791">
        <f t="shared" si="39"/>
        <v>3889753.0273604682</v>
      </c>
      <c r="I659" s="788">
        <f t="shared" si="40"/>
        <v>0</v>
      </c>
      <c r="J659" s="788"/>
      <c r="K659" s="808"/>
      <c r="L659" s="792"/>
      <c r="M659" s="808"/>
      <c r="N659" s="792"/>
      <c r="O659" s="792"/>
    </row>
    <row r="660" spans="3:15">
      <c r="C660" s="784">
        <f>IF(D631="","-",+C659+1)</f>
        <v>2039</v>
      </c>
      <c r="D660" s="732">
        <f t="shared" si="36"/>
        <v>21867881.56410253</v>
      </c>
      <c r="E660" s="785">
        <f t="shared" si="41"/>
        <v>1286345.9743589743</v>
      </c>
      <c r="F660" s="732">
        <f t="shared" si="37"/>
        <v>20581535.589743555</v>
      </c>
      <c r="G660" s="790">
        <f t="shared" si="38"/>
        <v>3740986.9100460969</v>
      </c>
      <c r="H660" s="791">
        <f t="shared" si="39"/>
        <v>3740986.9100460969</v>
      </c>
      <c r="I660" s="788">
        <f t="shared" si="40"/>
        <v>0</v>
      </c>
      <c r="J660" s="788"/>
      <c r="K660" s="808"/>
      <c r="L660" s="792"/>
      <c r="M660" s="808"/>
      <c r="N660" s="792"/>
      <c r="O660" s="792"/>
    </row>
    <row r="661" spans="3:15">
      <c r="C661" s="784">
        <f>IF(D631="","-",+C660+1)</f>
        <v>2040</v>
      </c>
      <c r="D661" s="732">
        <f t="shared" si="36"/>
        <v>20581535.589743555</v>
      </c>
      <c r="E661" s="785">
        <f t="shared" si="41"/>
        <v>1286345.9743589743</v>
      </c>
      <c r="F661" s="732">
        <f t="shared" si="37"/>
        <v>19295189.615384579</v>
      </c>
      <c r="G661" s="790">
        <f t="shared" si="38"/>
        <v>3592220.7927317256</v>
      </c>
      <c r="H661" s="791">
        <f t="shared" si="39"/>
        <v>3592220.7927317256</v>
      </c>
      <c r="I661" s="788">
        <f t="shared" si="40"/>
        <v>0</v>
      </c>
      <c r="J661" s="788"/>
      <c r="K661" s="808"/>
      <c r="L661" s="792"/>
      <c r="M661" s="808"/>
      <c r="N661" s="792"/>
      <c r="O661" s="792"/>
    </row>
    <row r="662" spans="3:15">
      <c r="C662" s="784">
        <f>IF(D631="","-",+C661+1)</f>
        <v>2041</v>
      </c>
      <c r="D662" s="732">
        <f t="shared" si="36"/>
        <v>19295189.615384579</v>
      </c>
      <c r="E662" s="785">
        <f t="shared" si="41"/>
        <v>1286345.9743589743</v>
      </c>
      <c r="F662" s="732">
        <f t="shared" si="37"/>
        <v>18008843.641025603</v>
      </c>
      <c r="G662" s="790">
        <f t="shared" si="38"/>
        <v>3443454.6754173543</v>
      </c>
      <c r="H662" s="791">
        <f t="shared" si="39"/>
        <v>3443454.6754173543</v>
      </c>
      <c r="I662" s="788">
        <f t="shared" si="40"/>
        <v>0</v>
      </c>
      <c r="J662" s="788"/>
      <c r="K662" s="808"/>
      <c r="L662" s="792"/>
      <c r="M662" s="808"/>
      <c r="N662" s="792"/>
      <c r="O662" s="792"/>
    </row>
    <row r="663" spans="3:15">
      <c r="C663" s="784">
        <f>IF(D631="","-",+C662+1)</f>
        <v>2042</v>
      </c>
      <c r="D663" s="732">
        <f t="shared" si="36"/>
        <v>18008843.641025603</v>
      </c>
      <c r="E663" s="785">
        <f t="shared" si="41"/>
        <v>1286345.9743589743</v>
      </c>
      <c r="F663" s="732">
        <f t="shared" si="37"/>
        <v>16722497.666666629</v>
      </c>
      <c r="G663" s="790">
        <f t="shared" si="38"/>
        <v>3294688.5581029821</v>
      </c>
      <c r="H663" s="791">
        <f t="shared" si="39"/>
        <v>3294688.5581029821</v>
      </c>
      <c r="I663" s="788">
        <f t="shared" si="40"/>
        <v>0</v>
      </c>
      <c r="J663" s="788"/>
      <c r="K663" s="808"/>
      <c r="L663" s="792"/>
      <c r="M663" s="808"/>
      <c r="N663" s="792"/>
      <c r="O663" s="792"/>
    </row>
    <row r="664" spans="3:15">
      <c r="C664" s="784">
        <f>IF(D631="","-",+C663+1)</f>
        <v>2043</v>
      </c>
      <c r="D664" s="732">
        <f t="shared" si="36"/>
        <v>16722497.666666629</v>
      </c>
      <c r="E664" s="785">
        <f t="shared" si="41"/>
        <v>1286345.9743589743</v>
      </c>
      <c r="F664" s="732">
        <f t="shared" si="37"/>
        <v>15436151.692307655</v>
      </c>
      <c r="G664" s="790">
        <f t="shared" si="38"/>
        <v>3145922.4407886113</v>
      </c>
      <c r="H664" s="791">
        <f t="shared" si="39"/>
        <v>3145922.4407886113</v>
      </c>
      <c r="I664" s="788">
        <f t="shared" si="40"/>
        <v>0</v>
      </c>
      <c r="J664" s="788"/>
      <c r="K664" s="808"/>
      <c r="L664" s="792"/>
      <c r="M664" s="808"/>
      <c r="N664" s="792"/>
      <c r="O664" s="792"/>
    </row>
    <row r="665" spans="3:15">
      <c r="C665" s="784">
        <f>IF(D631="","-",+C664+1)</f>
        <v>2044</v>
      </c>
      <c r="D665" s="732">
        <f t="shared" si="36"/>
        <v>15436151.692307655</v>
      </c>
      <c r="E665" s="785">
        <f t="shared" si="41"/>
        <v>1286345.9743589743</v>
      </c>
      <c r="F665" s="732">
        <f t="shared" si="37"/>
        <v>14149805.717948681</v>
      </c>
      <c r="G665" s="786">
        <f t="shared" si="38"/>
        <v>2997156.3234742396</v>
      </c>
      <c r="H665" s="791">
        <f t="shared" si="39"/>
        <v>2997156.3234742396</v>
      </c>
      <c r="I665" s="788">
        <f t="shared" si="40"/>
        <v>0</v>
      </c>
      <c r="J665" s="788"/>
      <c r="K665" s="808"/>
      <c r="L665" s="792"/>
      <c r="M665" s="808"/>
      <c r="N665" s="792"/>
      <c r="O665" s="792"/>
    </row>
    <row r="666" spans="3:15">
      <c r="C666" s="784">
        <f>IF(D631="","-",+C665+1)</f>
        <v>2045</v>
      </c>
      <c r="D666" s="732">
        <f t="shared" si="36"/>
        <v>14149805.717948681</v>
      </c>
      <c r="E666" s="785">
        <f t="shared" si="41"/>
        <v>1286345.9743589743</v>
      </c>
      <c r="F666" s="732">
        <f t="shared" si="37"/>
        <v>12863459.743589707</v>
      </c>
      <c r="G666" s="790">
        <f t="shared" si="38"/>
        <v>2848390.2061598687</v>
      </c>
      <c r="H666" s="791">
        <f t="shared" si="39"/>
        <v>2848390.2061598687</v>
      </c>
      <c r="I666" s="788">
        <f t="shared" si="40"/>
        <v>0</v>
      </c>
      <c r="J666" s="788"/>
      <c r="K666" s="808"/>
      <c r="L666" s="792"/>
      <c r="M666" s="808"/>
      <c r="N666" s="792"/>
      <c r="O666" s="792"/>
    </row>
    <row r="667" spans="3:15">
      <c r="C667" s="784">
        <f>IF(D631="","-",+C666+1)</f>
        <v>2046</v>
      </c>
      <c r="D667" s="732">
        <f t="shared" si="36"/>
        <v>12863459.743589707</v>
      </c>
      <c r="E667" s="785">
        <f t="shared" si="41"/>
        <v>1286345.9743589743</v>
      </c>
      <c r="F667" s="732">
        <f t="shared" si="37"/>
        <v>11577113.769230733</v>
      </c>
      <c r="G667" s="790">
        <f t="shared" si="38"/>
        <v>2699624.088845497</v>
      </c>
      <c r="H667" s="791">
        <f t="shared" si="39"/>
        <v>2699624.088845497</v>
      </c>
      <c r="I667" s="788">
        <f t="shared" si="40"/>
        <v>0</v>
      </c>
      <c r="J667" s="788"/>
      <c r="K667" s="808"/>
      <c r="L667" s="792"/>
      <c r="M667" s="808"/>
      <c r="N667" s="792"/>
      <c r="O667" s="792"/>
    </row>
    <row r="668" spans="3:15">
      <c r="C668" s="784">
        <f>IF(D631="","-",+C667+1)</f>
        <v>2047</v>
      </c>
      <c r="D668" s="732">
        <f t="shared" si="36"/>
        <v>11577113.769230733</v>
      </c>
      <c r="E668" s="785">
        <f t="shared" si="41"/>
        <v>1286345.9743589743</v>
      </c>
      <c r="F668" s="732">
        <f t="shared" si="37"/>
        <v>10290767.794871759</v>
      </c>
      <c r="G668" s="790">
        <f t="shared" si="38"/>
        <v>2550857.9715311262</v>
      </c>
      <c r="H668" s="791">
        <f t="shared" si="39"/>
        <v>2550857.9715311262</v>
      </c>
      <c r="I668" s="788">
        <f t="shared" si="40"/>
        <v>0</v>
      </c>
      <c r="J668" s="788"/>
      <c r="K668" s="808"/>
      <c r="L668" s="792"/>
      <c r="M668" s="808"/>
      <c r="N668" s="792"/>
      <c r="O668" s="792"/>
    </row>
    <row r="669" spans="3:15">
      <c r="C669" s="784">
        <f>IF(D631="","-",+C668+1)</f>
        <v>2048</v>
      </c>
      <c r="D669" s="732">
        <f t="shared" si="36"/>
        <v>10290767.794871759</v>
      </c>
      <c r="E669" s="785">
        <f t="shared" si="41"/>
        <v>1286345.9743589743</v>
      </c>
      <c r="F669" s="732">
        <f t="shared" si="37"/>
        <v>9004421.8205127846</v>
      </c>
      <c r="G669" s="790">
        <f t="shared" si="38"/>
        <v>2402091.8542167544</v>
      </c>
      <c r="H669" s="791">
        <f t="shared" si="39"/>
        <v>2402091.8542167544</v>
      </c>
      <c r="I669" s="788">
        <f t="shared" si="40"/>
        <v>0</v>
      </c>
      <c r="J669" s="788"/>
      <c r="K669" s="808"/>
      <c r="L669" s="792"/>
      <c r="M669" s="808"/>
      <c r="N669" s="792"/>
      <c r="O669" s="792"/>
    </row>
    <row r="670" spans="3:15">
      <c r="C670" s="784">
        <f>IF(D631="","-",+C669+1)</f>
        <v>2049</v>
      </c>
      <c r="D670" s="732">
        <f t="shared" si="36"/>
        <v>9004421.8205127846</v>
      </c>
      <c r="E670" s="785">
        <f t="shared" si="41"/>
        <v>1286345.9743589743</v>
      </c>
      <c r="F670" s="732">
        <f t="shared" si="37"/>
        <v>7718075.8461538106</v>
      </c>
      <c r="G670" s="790">
        <f t="shared" si="38"/>
        <v>2253325.7369023836</v>
      </c>
      <c r="H670" s="791">
        <f t="shared" si="39"/>
        <v>2253325.7369023836</v>
      </c>
      <c r="I670" s="788">
        <f t="shared" si="40"/>
        <v>0</v>
      </c>
      <c r="J670" s="788"/>
      <c r="K670" s="808"/>
      <c r="L670" s="792"/>
      <c r="M670" s="808"/>
      <c r="N670" s="792"/>
      <c r="O670" s="792"/>
    </row>
    <row r="671" spans="3:15">
      <c r="C671" s="784">
        <f>IF(D631="","-",+C670+1)</f>
        <v>2050</v>
      </c>
      <c r="D671" s="732">
        <f t="shared" si="36"/>
        <v>7718075.8461538106</v>
      </c>
      <c r="E671" s="785">
        <f t="shared" si="41"/>
        <v>1286345.9743589743</v>
      </c>
      <c r="F671" s="732">
        <f t="shared" si="37"/>
        <v>6431729.8717948366</v>
      </c>
      <c r="G671" s="790">
        <f t="shared" si="38"/>
        <v>2104559.6195880123</v>
      </c>
      <c r="H671" s="791">
        <f t="shared" si="39"/>
        <v>2104559.6195880123</v>
      </c>
      <c r="I671" s="788">
        <f t="shared" si="40"/>
        <v>0</v>
      </c>
      <c r="J671" s="788"/>
      <c r="K671" s="808"/>
      <c r="L671" s="792"/>
      <c r="M671" s="808"/>
      <c r="N671" s="792"/>
      <c r="O671" s="792"/>
    </row>
    <row r="672" spans="3:15">
      <c r="C672" s="784">
        <f>IF(D631="","-",+C671+1)</f>
        <v>2051</v>
      </c>
      <c r="D672" s="732">
        <f t="shared" si="36"/>
        <v>6431729.8717948366</v>
      </c>
      <c r="E672" s="785">
        <f t="shared" si="41"/>
        <v>1286345.9743589743</v>
      </c>
      <c r="F672" s="732">
        <f t="shared" si="37"/>
        <v>5145383.8974358626</v>
      </c>
      <c r="G672" s="790">
        <f t="shared" si="38"/>
        <v>1955793.5022736411</v>
      </c>
      <c r="H672" s="791">
        <f t="shared" si="39"/>
        <v>1955793.5022736411</v>
      </c>
      <c r="I672" s="788">
        <f t="shared" si="40"/>
        <v>0</v>
      </c>
      <c r="J672" s="788"/>
      <c r="K672" s="808"/>
      <c r="L672" s="792"/>
      <c r="M672" s="808"/>
      <c r="N672" s="792"/>
      <c r="O672" s="792"/>
    </row>
    <row r="673" spans="3:15">
      <c r="C673" s="784">
        <f>IF(D631="","-",+C672+1)</f>
        <v>2052</v>
      </c>
      <c r="D673" s="732">
        <f t="shared" si="36"/>
        <v>5145383.8974358626</v>
      </c>
      <c r="E673" s="785">
        <f t="shared" si="41"/>
        <v>1286345.9743589743</v>
      </c>
      <c r="F673" s="732">
        <f t="shared" si="37"/>
        <v>3859037.9230768885</v>
      </c>
      <c r="G673" s="790">
        <f t="shared" si="38"/>
        <v>1807027.3849592698</v>
      </c>
      <c r="H673" s="791">
        <f t="shared" si="39"/>
        <v>1807027.3849592698</v>
      </c>
      <c r="I673" s="788">
        <f t="shared" si="40"/>
        <v>0</v>
      </c>
      <c r="J673" s="788"/>
      <c r="K673" s="808"/>
      <c r="L673" s="792"/>
      <c r="M673" s="808"/>
      <c r="N673" s="792"/>
      <c r="O673" s="792"/>
    </row>
    <row r="674" spans="3:15">
      <c r="C674" s="784">
        <f>IF(D631="","-",+C673+1)</f>
        <v>2053</v>
      </c>
      <c r="D674" s="732">
        <f t="shared" si="36"/>
        <v>3859037.9230768885</v>
      </c>
      <c r="E674" s="785">
        <f t="shared" si="41"/>
        <v>1286345.9743589743</v>
      </c>
      <c r="F674" s="732">
        <f t="shared" si="37"/>
        <v>2572691.9487179145</v>
      </c>
      <c r="G674" s="790">
        <f t="shared" si="38"/>
        <v>1658261.2676448985</v>
      </c>
      <c r="H674" s="791">
        <f t="shared" si="39"/>
        <v>1658261.2676448985</v>
      </c>
      <c r="I674" s="788">
        <f t="shared" si="40"/>
        <v>0</v>
      </c>
      <c r="J674" s="788"/>
      <c r="K674" s="808"/>
      <c r="L674" s="792"/>
      <c r="M674" s="808"/>
      <c r="N674" s="792"/>
      <c r="O674" s="792"/>
    </row>
    <row r="675" spans="3:15">
      <c r="C675" s="784">
        <f>IF(D631="","-",+C674+1)</f>
        <v>2054</v>
      </c>
      <c r="D675" s="732">
        <f t="shared" si="36"/>
        <v>2572691.9487179145</v>
      </c>
      <c r="E675" s="785">
        <f t="shared" si="41"/>
        <v>1286345.9743589743</v>
      </c>
      <c r="F675" s="732">
        <f t="shared" si="37"/>
        <v>1286345.9743589403</v>
      </c>
      <c r="G675" s="790">
        <f t="shared" si="38"/>
        <v>1509495.1503305272</v>
      </c>
      <c r="H675" s="791">
        <f t="shared" si="39"/>
        <v>1509495.1503305272</v>
      </c>
      <c r="I675" s="788">
        <f t="shared" si="40"/>
        <v>0</v>
      </c>
      <c r="J675" s="788"/>
      <c r="K675" s="808"/>
      <c r="L675" s="792"/>
      <c r="M675" s="808"/>
      <c r="N675" s="792"/>
      <c r="O675" s="792"/>
    </row>
    <row r="676" spans="3:15">
      <c r="C676" s="784">
        <f>IF(D631="","-",+C675+1)</f>
        <v>2055</v>
      </c>
      <c r="D676" s="732">
        <f t="shared" si="36"/>
        <v>1286345.9743589403</v>
      </c>
      <c r="E676" s="785">
        <f t="shared" si="41"/>
        <v>1286345.9743589403</v>
      </c>
      <c r="F676" s="732">
        <f t="shared" si="37"/>
        <v>0</v>
      </c>
      <c r="G676" s="790">
        <f t="shared" si="38"/>
        <v>1360729.033016124</v>
      </c>
      <c r="H676" s="791">
        <f t="shared" si="39"/>
        <v>1360729.033016124</v>
      </c>
      <c r="I676" s="788">
        <f t="shared" si="40"/>
        <v>0</v>
      </c>
      <c r="J676" s="788"/>
      <c r="K676" s="808"/>
      <c r="L676" s="792"/>
      <c r="M676" s="808"/>
      <c r="N676" s="792"/>
      <c r="O676" s="792"/>
    </row>
    <row r="677" spans="3:15">
      <c r="C677" s="784">
        <f>IF(D631="","-",+C676+1)</f>
        <v>2056</v>
      </c>
      <c r="D677" s="732">
        <f t="shared" si="36"/>
        <v>0</v>
      </c>
      <c r="E677" s="785">
        <f t="shared" si="41"/>
        <v>0</v>
      </c>
      <c r="F677" s="732">
        <f t="shared" si="37"/>
        <v>0</v>
      </c>
      <c r="G677" s="790">
        <f t="shared" si="38"/>
        <v>0</v>
      </c>
      <c r="H677" s="791">
        <f t="shared" si="39"/>
        <v>0</v>
      </c>
      <c r="I677" s="788">
        <f t="shared" si="40"/>
        <v>0</v>
      </c>
      <c r="J677" s="788"/>
      <c r="K677" s="808"/>
      <c r="L677" s="792"/>
      <c r="M677" s="808"/>
      <c r="N677" s="792"/>
      <c r="O677" s="792"/>
    </row>
    <row r="678" spans="3:15">
      <c r="C678" s="784">
        <f>IF(D631="","-",+C677+1)</f>
        <v>2057</v>
      </c>
      <c r="D678" s="732">
        <f t="shared" si="36"/>
        <v>0</v>
      </c>
      <c r="E678" s="785">
        <f t="shared" si="41"/>
        <v>0</v>
      </c>
      <c r="F678" s="732">
        <f t="shared" si="37"/>
        <v>0</v>
      </c>
      <c r="G678" s="790">
        <f t="shared" si="38"/>
        <v>0</v>
      </c>
      <c r="H678" s="791">
        <f t="shared" si="39"/>
        <v>0</v>
      </c>
      <c r="I678" s="788">
        <f t="shared" si="40"/>
        <v>0</v>
      </c>
      <c r="J678" s="788"/>
      <c r="K678" s="808"/>
      <c r="L678" s="792"/>
      <c r="M678" s="808"/>
      <c r="N678" s="792"/>
      <c r="O678" s="792"/>
    </row>
    <row r="679" spans="3:15">
      <c r="C679" s="784">
        <f>IF(D631="","-",+C678+1)</f>
        <v>2058</v>
      </c>
      <c r="D679" s="732">
        <f t="shared" si="36"/>
        <v>0</v>
      </c>
      <c r="E679" s="785">
        <f t="shared" si="41"/>
        <v>0</v>
      </c>
      <c r="F679" s="732">
        <f t="shared" si="37"/>
        <v>0</v>
      </c>
      <c r="G679" s="790">
        <f t="shared" si="38"/>
        <v>0</v>
      </c>
      <c r="H679" s="791">
        <f t="shared" si="39"/>
        <v>0</v>
      </c>
      <c r="I679" s="788">
        <f t="shared" si="40"/>
        <v>0</v>
      </c>
      <c r="J679" s="788"/>
      <c r="K679" s="808"/>
      <c r="L679" s="792"/>
      <c r="M679" s="808"/>
      <c r="N679" s="792"/>
      <c r="O679" s="792"/>
    </row>
    <row r="680" spans="3:15">
      <c r="C680" s="784">
        <f>IF(D631="","-",+C679+1)</f>
        <v>2059</v>
      </c>
      <c r="D680" s="732">
        <f t="shared" si="36"/>
        <v>0</v>
      </c>
      <c r="E680" s="785">
        <f t="shared" si="41"/>
        <v>0</v>
      </c>
      <c r="F680" s="732">
        <f t="shared" si="37"/>
        <v>0</v>
      </c>
      <c r="G680" s="790">
        <f t="shared" si="38"/>
        <v>0</v>
      </c>
      <c r="H680" s="791">
        <f t="shared" si="39"/>
        <v>0</v>
      </c>
      <c r="I680" s="788">
        <f t="shared" si="40"/>
        <v>0</v>
      </c>
      <c r="J680" s="788"/>
      <c r="K680" s="808"/>
      <c r="L680" s="792"/>
      <c r="M680" s="808"/>
      <c r="N680" s="792"/>
      <c r="O680" s="792"/>
    </row>
    <row r="681" spans="3:15">
      <c r="C681" s="784">
        <f>IF(D631="","-",+C680+1)</f>
        <v>2060</v>
      </c>
      <c r="D681" s="732">
        <f t="shared" si="36"/>
        <v>0</v>
      </c>
      <c r="E681" s="785">
        <f t="shared" si="41"/>
        <v>0</v>
      </c>
      <c r="F681" s="732">
        <f t="shared" si="37"/>
        <v>0</v>
      </c>
      <c r="G681" s="790">
        <f t="shared" si="38"/>
        <v>0</v>
      </c>
      <c r="H681" s="791">
        <f t="shared" si="39"/>
        <v>0</v>
      </c>
      <c r="I681" s="788">
        <f t="shared" si="40"/>
        <v>0</v>
      </c>
      <c r="J681" s="788"/>
      <c r="K681" s="808"/>
      <c r="L681" s="792"/>
      <c r="M681" s="808"/>
      <c r="N681" s="792"/>
      <c r="O681" s="792"/>
    </row>
    <row r="682" spans="3:15">
      <c r="C682" s="784">
        <f>IF(D631="","-",+C681+1)</f>
        <v>2061</v>
      </c>
      <c r="D682" s="732">
        <f t="shared" si="36"/>
        <v>0</v>
      </c>
      <c r="E682" s="785">
        <f t="shared" si="41"/>
        <v>0</v>
      </c>
      <c r="F682" s="732">
        <f t="shared" si="37"/>
        <v>0</v>
      </c>
      <c r="G682" s="790">
        <f t="shared" si="38"/>
        <v>0</v>
      </c>
      <c r="H682" s="791">
        <f t="shared" si="39"/>
        <v>0</v>
      </c>
      <c r="I682" s="788">
        <f t="shared" si="40"/>
        <v>0</v>
      </c>
      <c r="J682" s="788"/>
      <c r="K682" s="808"/>
      <c r="L682" s="792"/>
      <c r="M682" s="808"/>
      <c r="N682" s="792"/>
      <c r="O682" s="792"/>
    </row>
    <row r="683" spans="3:15">
      <c r="C683" s="784">
        <f>IF(D631="","-",+C682+1)</f>
        <v>2062</v>
      </c>
      <c r="D683" s="732">
        <f t="shared" si="36"/>
        <v>0</v>
      </c>
      <c r="E683" s="785">
        <f t="shared" si="41"/>
        <v>0</v>
      </c>
      <c r="F683" s="732">
        <f t="shared" si="37"/>
        <v>0</v>
      </c>
      <c r="G683" s="790">
        <f t="shared" si="38"/>
        <v>0</v>
      </c>
      <c r="H683" s="791">
        <f t="shared" si="39"/>
        <v>0</v>
      </c>
      <c r="I683" s="788">
        <f t="shared" si="40"/>
        <v>0</v>
      </c>
      <c r="J683" s="788"/>
      <c r="K683" s="808"/>
      <c r="L683" s="792"/>
      <c r="M683" s="808"/>
      <c r="N683" s="792"/>
      <c r="O683" s="792"/>
    </row>
    <row r="684" spans="3:15">
      <c r="C684" s="784">
        <f>IF(D631="","-",+C683+1)</f>
        <v>2063</v>
      </c>
      <c r="D684" s="732">
        <f t="shared" si="36"/>
        <v>0</v>
      </c>
      <c r="E684" s="785">
        <f t="shared" si="41"/>
        <v>0</v>
      </c>
      <c r="F684" s="732">
        <f t="shared" si="37"/>
        <v>0</v>
      </c>
      <c r="G684" s="790">
        <f t="shared" si="38"/>
        <v>0</v>
      </c>
      <c r="H684" s="791">
        <f t="shared" si="39"/>
        <v>0</v>
      </c>
      <c r="I684" s="788">
        <f t="shared" si="40"/>
        <v>0</v>
      </c>
      <c r="J684" s="788"/>
      <c r="K684" s="808"/>
      <c r="L684" s="792"/>
      <c r="M684" s="808"/>
      <c r="N684" s="792"/>
      <c r="O684" s="792"/>
    </row>
    <row r="685" spans="3:15">
      <c r="C685" s="784">
        <f>IF(D631="","-",+C684+1)</f>
        <v>2064</v>
      </c>
      <c r="D685" s="732">
        <f t="shared" si="36"/>
        <v>0</v>
      </c>
      <c r="E685" s="785">
        <f t="shared" si="41"/>
        <v>0</v>
      </c>
      <c r="F685" s="732">
        <f t="shared" si="37"/>
        <v>0</v>
      </c>
      <c r="G685" s="790">
        <f t="shared" si="38"/>
        <v>0</v>
      </c>
      <c r="H685" s="791">
        <f t="shared" si="39"/>
        <v>0</v>
      </c>
      <c r="I685" s="788">
        <f t="shared" si="40"/>
        <v>0</v>
      </c>
      <c r="J685" s="788"/>
      <c r="K685" s="808"/>
      <c r="L685" s="792"/>
      <c r="M685" s="808"/>
      <c r="N685" s="792"/>
      <c r="O685" s="792"/>
    </row>
    <row r="686" spans="3:15">
      <c r="C686" s="784">
        <f>IF(D631="","-",+C685+1)</f>
        <v>2065</v>
      </c>
      <c r="D686" s="732">
        <f t="shared" si="36"/>
        <v>0</v>
      </c>
      <c r="E686" s="785">
        <f t="shared" si="41"/>
        <v>0</v>
      </c>
      <c r="F686" s="732">
        <f t="shared" si="37"/>
        <v>0</v>
      </c>
      <c r="G686" s="790">
        <f t="shared" si="38"/>
        <v>0</v>
      </c>
      <c r="H686" s="791">
        <f t="shared" si="39"/>
        <v>0</v>
      </c>
      <c r="I686" s="788">
        <f t="shared" si="40"/>
        <v>0</v>
      </c>
      <c r="J686" s="788"/>
      <c r="K686" s="808"/>
      <c r="L686" s="792"/>
      <c r="M686" s="808"/>
      <c r="N686" s="792"/>
      <c r="O686" s="792"/>
    </row>
    <row r="687" spans="3:15">
      <c r="C687" s="784">
        <f>IF(D631="","-",+C686+1)</f>
        <v>2066</v>
      </c>
      <c r="D687" s="732">
        <f t="shared" si="36"/>
        <v>0</v>
      </c>
      <c r="E687" s="785">
        <f t="shared" si="41"/>
        <v>0</v>
      </c>
      <c r="F687" s="732">
        <f t="shared" si="37"/>
        <v>0</v>
      </c>
      <c r="G687" s="790">
        <f t="shared" si="38"/>
        <v>0</v>
      </c>
      <c r="H687" s="791">
        <f t="shared" si="39"/>
        <v>0</v>
      </c>
      <c r="I687" s="788">
        <f t="shared" si="40"/>
        <v>0</v>
      </c>
      <c r="J687" s="788"/>
      <c r="K687" s="808"/>
      <c r="L687" s="792"/>
      <c r="M687" s="808"/>
      <c r="N687" s="792"/>
      <c r="O687" s="792"/>
    </row>
    <row r="688" spans="3:15">
      <c r="C688" s="784">
        <f>IF(D631="","-",+C687+1)</f>
        <v>2067</v>
      </c>
      <c r="D688" s="732">
        <f t="shared" si="36"/>
        <v>0</v>
      </c>
      <c r="E688" s="785">
        <f t="shared" si="41"/>
        <v>0</v>
      </c>
      <c r="F688" s="732">
        <f t="shared" si="37"/>
        <v>0</v>
      </c>
      <c r="G688" s="790">
        <f t="shared" si="38"/>
        <v>0</v>
      </c>
      <c r="H688" s="791">
        <f t="shared" si="39"/>
        <v>0</v>
      </c>
      <c r="I688" s="788">
        <f t="shared" si="40"/>
        <v>0</v>
      </c>
      <c r="J688" s="788"/>
      <c r="K688" s="808"/>
      <c r="L688" s="792"/>
      <c r="M688" s="808"/>
      <c r="N688" s="792"/>
      <c r="O688" s="792"/>
    </row>
    <row r="689" spans="3:15">
      <c r="C689" s="784">
        <f>IF(D631="","-",+C688+1)</f>
        <v>2068</v>
      </c>
      <c r="D689" s="732">
        <f t="shared" si="36"/>
        <v>0</v>
      </c>
      <c r="E689" s="785">
        <f t="shared" si="41"/>
        <v>0</v>
      </c>
      <c r="F689" s="732">
        <f t="shared" si="37"/>
        <v>0</v>
      </c>
      <c r="G689" s="790">
        <f t="shared" si="38"/>
        <v>0</v>
      </c>
      <c r="H689" s="791">
        <f t="shared" si="39"/>
        <v>0</v>
      </c>
      <c r="I689" s="788">
        <f t="shared" si="40"/>
        <v>0</v>
      </c>
      <c r="J689" s="788"/>
      <c r="K689" s="808"/>
      <c r="L689" s="792"/>
      <c r="M689" s="808"/>
      <c r="N689" s="792"/>
      <c r="O689" s="792"/>
    </row>
    <row r="690" spans="3:15">
      <c r="C690" s="784">
        <f>IF(D631="","-",+C689+1)</f>
        <v>2069</v>
      </c>
      <c r="D690" s="732">
        <f t="shared" si="36"/>
        <v>0</v>
      </c>
      <c r="E690" s="785">
        <f t="shared" si="41"/>
        <v>0</v>
      </c>
      <c r="F690" s="732">
        <f t="shared" si="37"/>
        <v>0</v>
      </c>
      <c r="G690" s="790">
        <f t="shared" si="38"/>
        <v>0</v>
      </c>
      <c r="H690" s="791">
        <f t="shared" si="39"/>
        <v>0</v>
      </c>
      <c r="I690" s="788">
        <f t="shared" si="40"/>
        <v>0</v>
      </c>
      <c r="J690" s="788"/>
      <c r="K690" s="808"/>
      <c r="L690" s="792"/>
      <c r="M690" s="808"/>
      <c r="N690" s="792"/>
      <c r="O690" s="792"/>
    </row>
    <row r="691" spans="3:15">
      <c r="C691" s="784">
        <f>IF(D631="","-",+C690+1)</f>
        <v>2070</v>
      </c>
      <c r="D691" s="732">
        <f t="shared" si="36"/>
        <v>0</v>
      </c>
      <c r="E691" s="785">
        <f t="shared" si="41"/>
        <v>0</v>
      </c>
      <c r="F691" s="732">
        <f t="shared" si="37"/>
        <v>0</v>
      </c>
      <c r="G691" s="790">
        <f t="shared" si="38"/>
        <v>0</v>
      </c>
      <c r="H691" s="791">
        <f t="shared" si="39"/>
        <v>0</v>
      </c>
      <c r="I691" s="788">
        <f t="shared" si="40"/>
        <v>0</v>
      </c>
      <c r="J691" s="788"/>
      <c r="K691" s="808"/>
      <c r="L691" s="792"/>
      <c r="M691" s="808"/>
      <c r="N691" s="792"/>
      <c r="O691" s="792"/>
    </row>
    <row r="692" spans="3:15">
      <c r="C692" s="784">
        <f>IF(D631="","-",+C691+1)</f>
        <v>2071</v>
      </c>
      <c r="D692" s="732">
        <f t="shared" si="36"/>
        <v>0</v>
      </c>
      <c r="E692" s="785">
        <f t="shared" si="41"/>
        <v>0</v>
      </c>
      <c r="F692" s="732">
        <f t="shared" si="37"/>
        <v>0</v>
      </c>
      <c r="G692" s="790">
        <f t="shared" si="38"/>
        <v>0</v>
      </c>
      <c r="H692" s="791">
        <f t="shared" si="39"/>
        <v>0</v>
      </c>
      <c r="I692" s="788">
        <f t="shared" si="40"/>
        <v>0</v>
      </c>
      <c r="J692" s="788"/>
      <c r="K692" s="808"/>
      <c r="L692" s="792"/>
      <c r="M692" s="808"/>
      <c r="N692" s="792"/>
      <c r="O692" s="792"/>
    </row>
    <row r="693" spans="3:15">
      <c r="C693" s="784">
        <f>IF(D631="","-",+C692+1)</f>
        <v>2072</v>
      </c>
      <c r="D693" s="732">
        <f t="shared" si="36"/>
        <v>0</v>
      </c>
      <c r="E693" s="785">
        <f t="shared" si="41"/>
        <v>0</v>
      </c>
      <c r="F693" s="732">
        <f t="shared" si="37"/>
        <v>0</v>
      </c>
      <c r="G693" s="790">
        <f t="shared" si="38"/>
        <v>0</v>
      </c>
      <c r="H693" s="791">
        <f t="shared" si="39"/>
        <v>0</v>
      </c>
      <c r="I693" s="788">
        <f t="shared" si="40"/>
        <v>0</v>
      </c>
      <c r="J693" s="788"/>
      <c r="K693" s="808"/>
      <c r="L693" s="792"/>
      <c r="M693" s="808"/>
      <c r="N693" s="792"/>
      <c r="O693" s="792"/>
    </row>
    <row r="694" spans="3:15">
      <c r="C694" s="784">
        <f>IF(D631="","-",+C693+1)</f>
        <v>2073</v>
      </c>
      <c r="D694" s="732">
        <f t="shared" si="36"/>
        <v>0</v>
      </c>
      <c r="E694" s="785">
        <f t="shared" si="41"/>
        <v>0</v>
      </c>
      <c r="F694" s="732">
        <f t="shared" si="37"/>
        <v>0</v>
      </c>
      <c r="G694" s="790">
        <f t="shared" si="38"/>
        <v>0</v>
      </c>
      <c r="H694" s="791">
        <f t="shared" si="39"/>
        <v>0</v>
      </c>
      <c r="I694" s="788">
        <f t="shared" si="40"/>
        <v>0</v>
      </c>
      <c r="J694" s="788"/>
      <c r="K694" s="808"/>
      <c r="L694" s="792"/>
      <c r="M694" s="808"/>
      <c r="N694" s="792"/>
      <c r="O694" s="792"/>
    </row>
    <row r="695" spans="3:15">
      <c r="C695" s="784">
        <f>IF(D631="","-",+C694+1)</f>
        <v>2074</v>
      </c>
      <c r="D695" s="732">
        <f t="shared" si="36"/>
        <v>0</v>
      </c>
      <c r="E695" s="785">
        <f t="shared" si="41"/>
        <v>0</v>
      </c>
      <c r="F695" s="732">
        <f t="shared" si="37"/>
        <v>0</v>
      </c>
      <c r="G695" s="790">
        <f t="shared" si="38"/>
        <v>0</v>
      </c>
      <c r="H695" s="791">
        <f t="shared" si="39"/>
        <v>0</v>
      </c>
      <c r="I695" s="788">
        <f t="shared" si="40"/>
        <v>0</v>
      </c>
      <c r="J695" s="788"/>
      <c r="K695" s="808"/>
      <c r="L695" s="792"/>
      <c r="M695" s="808"/>
      <c r="N695" s="792"/>
      <c r="O695" s="792"/>
    </row>
    <row r="696" spans="3:15" ht="13.5" thickBot="1">
      <c r="C696" s="794">
        <f>IF(D631="","-",+C695+1)</f>
        <v>2075</v>
      </c>
      <c r="D696" s="795">
        <f t="shared" si="36"/>
        <v>0</v>
      </c>
      <c r="E696" s="796">
        <f t="shared" si="41"/>
        <v>0</v>
      </c>
      <c r="F696" s="795">
        <f t="shared" si="37"/>
        <v>0</v>
      </c>
      <c r="G696" s="797">
        <f t="shared" si="38"/>
        <v>0</v>
      </c>
      <c r="H696" s="797">
        <f t="shared" si="39"/>
        <v>0</v>
      </c>
      <c r="I696" s="798">
        <f t="shared" si="40"/>
        <v>0</v>
      </c>
      <c r="J696" s="788"/>
      <c r="K696" s="809"/>
      <c r="L696" s="799"/>
      <c r="M696" s="809"/>
      <c r="N696" s="799"/>
      <c r="O696" s="799"/>
    </row>
    <row r="697" spans="3:15">
      <c r="C697" s="732" t="s">
        <v>93</v>
      </c>
      <c r="D697" s="726"/>
      <c r="E697" s="726">
        <f>SUM(E637:E696)</f>
        <v>50167493</v>
      </c>
      <c r="F697" s="726"/>
      <c r="G697" s="726">
        <f>SUM(G637:G696)</f>
        <v>169106003.79283971</v>
      </c>
      <c r="H697" s="726">
        <f>SUM(H637:H696)</f>
        <v>169106003.79283971</v>
      </c>
      <c r="I697" s="726">
        <f>SUM(I637:I696)</f>
        <v>0</v>
      </c>
      <c r="J697" s="726"/>
      <c r="K697" s="726"/>
      <c r="L697" s="726"/>
      <c r="M697" s="726"/>
      <c r="N697" s="726"/>
      <c r="O697" s="313"/>
    </row>
    <row r="698" spans="3:15">
      <c r="D698" s="534"/>
      <c r="E698" s="313"/>
      <c r="F698" s="313"/>
      <c r="G698" s="313"/>
      <c r="H698" s="704"/>
      <c r="I698" s="704"/>
      <c r="J698" s="726"/>
      <c r="K698" s="704"/>
      <c r="L698" s="704"/>
      <c r="M698" s="704"/>
      <c r="N698" s="704"/>
      <c r="O698" s="313"/>
    </row>
    <row r="699" spans="3:15">
      <c r="C699" s="313" t="s">
        <v>15</v>
      </c>
      <c r="D699" s="534"/>
      <c r="E699" s="313"/>
      <c r="F699" s="313"/>
      <c r="G699" s="313"/>
      <c r="H699" s="704"/>
      <c r="I699" s="704"/>
      <c r="J699" s="726"/>
      <c r="K699" s="704"/>
      <c r="L699" s="704"/>
      <c r="M699" s="704"/>
      <c r="N699" s="704"/>
      <c r="O699" s="313"/>
    </row>
    <row r="700" spans="3:15">
      <c r="C700" s="313"/>
      <c r="D700" s="534"/>
      <c r="E700" s="313"/>
      <c r="F700" s="313"/>
      <c r="G700" s="313"/>
      <c r="H700" s="704"/>
      <c r="I700" s="704"/>
      <c r="J700" s="726"/>
      <c r="K700" s="704"/>
      <c r="L700" s="704"/>
      <c r="M700" s="704"/>
      <c r="N700" s="704"/>
      <c r="O700" s="313"/>
    </row>
    <row r="701" spans="3:15">
      <c r="C701" s="745" t="s">
        <v>16</v>
      </c>
      <c r="D701" s="732"/>
      <c r="E701" s="732"/>
      <c r="F701" s="732"/>
      <c r="G701" s="726"/>
      <c r="H701" s="726"/>
      <c r="I701" s="800"/>
      <c r="J701" s="800"/>
      <c r="K701" s="800"/>
      <c r="L701" s="800"/>
      <c r="M701" s="800"/>
      <c r="N701" s="800"/>
      <c r="O701" s="313"/>
    </row>
    <row r="702" spans="3:15">
      <c r="C702" s="731" t="s">
        <v>273</v>
      </c>
      <c r="D702" s="732"/>
      <c r="E702" s="732"/>
      <c r="F702" s="732"/>
      <c r="G702" s="726"/>
      <c r="H702" s="726"/>
      <c r="I702" s="800"/>
      <c r="J702" s="800"/>
      <c r="K702" s="800"/>
      <c r="L702" s="800"/>
      <c r="M702" s="800"/>
      <c r="N702" s="800"/>
      <c r="O702" s="313"/>
    </row>
    <row r="703" spans="3:15">
      <c r="C703" s="731" t="s">
        <v>94</v>
      </c>
      <c r="D703" s="732"/>
      <c r="E703" s="732"/>
      <c r="F703" s="732"/>
      <c r="G703" s="726"/>
      <c r="H703" s="726"/>
      <c r="I703" s="800"/>
      <c r="J703" s="800"/>
      <c r="K703" s="800"/>
      <c r="L703" s="800"/>
      <c r="M703" s="800"/>
      <c r="N703" s="800"/>
      <c r="O703" s="313"/>
    </row>
    <row r="704" spans="3:15">
      <c r="C704" s="731"/>
      <c r="D704" s="732"/>
      <c r="E704" s="732"/>
      <c r="F704" s="732"/>
      <c r="G704" s="726"/>
      <c r="H704" s="726"/>
      <c r="I704" s="800"/>
      <c r="J704" s="800"/>
      <c r="K704" s="800"/>
      <c r="L704" s="800"/>
      <c r="M704" s="800"/>
      <c r="N704" s="800"/>
      <c r="O704" s="313"/>
    </row>
    <row r="705" spans="1:16">
      <c r="C705" s="1556" t="s">
        <v>8</v>
      </c>
      <c r="D705" s="1556"/>
      <c r="E705" s="1556"/>
      <c r="F705" s="1556"/>
      <c r="G705" s="1556"/>
      <c r="H705" s="1556"/>
      <c r="I705" s="1556"/>
      <c r="J705" s="1556"/>
      <c r="K705" s="1556"/>
      <c r="L705" s="1556"/>
      <c r="M705" s="1556"/>
      <c r="N705" s="1556"/>
      <c r="O705" s="1556"/>
    </row>
    <row r="706" spans="1:16">
      <c r="C706" s="1556"/>
      <c r="D706" s="1556"/>
      <c r="E706" s="1556"/>
      <c r="F706" s="1556"/>
      <c r="G706" s="1556"/>
      <c r="H706" s="1556"/>
      <c r="I706" s="1556"/>
      <c r="J706" s="1556"/>
      <c r="K706" s="1556"/>
      <c r="L706" s="1556"/>
      <c r="M706" s="1556"/>
      <c r="N706" s="1556"/>
      <c r="O706" s="1556"/>
    </row>
    <row r="707" spans="1:16" ht="20.25">
      <c r="A707" s="733" t="str">
        <f>""&amp;A631&amp;" Worksheet J -  ATRR PROJECTED Calculation for PJM Projects Charged to Benefiting Zones"</f>
        <v xml:space="preserve"> Worksheet J -  ATRR PROJECTED Calculation for PJM Projects Charged to Benefiting Zones</v>
      </c>
      <c r="B707" s="346"/>
      <c r="C707" s="721"/>
      <c r="D707" s="534"/>
      <c r="E707" s="313"/>
      <c r="F707" s="703"/>
      <c r="G707" s="313"/>
      <c r="H707" s="704"/>
      <c r="K707" s="560"/>
      <c r="L707" s="560"/>
      <c r="M707" s="560"/>
      <c r="N707" s="649" t="str">
        <f>"Page "&amp;SUM(P$8:P707)&amp;" of "</f>
        <v xml:space="preserve">Page 9 of </v>
      </c>
      <c r="O707" s="650">
        <f>COUNT(P$8:P$56656)</f>
        <v>11</v>
      </c>
      <c r="P707" s="173">
        <v>1</v>
      </c>
    </row>
    <row r="708" spans="1:16" ht="20.25">
      <c r="A708" s="733"/>
      <c r="B708" s="346"/>
      <c r="C708" s="721"/>
      <c r="D708" s="534"/>
      <c r="E708" s="313"/>
      <c r="F708" s="703"/>
      <c r="G708" s="313"/>
      <c r="H708" s="704"/>
      <c r="K708" s="560"/>
      <c r="L708" s="560"/>
      <c r="M708" s="560"/>
      <c r="N708" s="649"/>
      <c r="O708" s="650"/>
    </row>
    <row r="709" spans="1:16" ht="18">
      <c r="B709" s="653" t="s">
        <v>474</v>
      </c>
      <c r="C709" s="735" t="s">
        <v>95</v>
      </c>
      <c r="D709" s="534"/>
      <c r="E709" s="313"/>
      <c r="F709" s="313"/>
      <c r="G709" s="313"/>
      <c r="H709" s="704"/>
      <c r="I709" s="704"/>
      <c r="J709" s="726"/>
      <c r="K709" s="704"/>
      <c r="L709" s="704"/>
      <c r="M709" s="704"/>
      <c r="N709" s="704"/>
      <c r="O709" s="313"/>
    </row>
    <row r="710" spans="1:16" ht="18.75">
      <c r="B710" s="653"/>
      <c r="C710" s="652"/>
      <c r="D710" s="534"/>
      <c r="E710" s="313"/>
      <c r="F710" s="313"/>
      <c r="G710" s="313"/>
      <c r="H710" s="704"/>
      <c r="I710" s="704"/>
      <c r="J710" s="726"/>
      <c r="K710" s="704"/>
      <c r="L710" s="704"/>
      <c r="M710" s="704"/>
      <c r="N710" s="704"/>
      <c r="O710" s="313"/>
    </row>
    <row r="711" spans="1:16" ht="18.75">
      <c r="B711" s="653"/>
      <c r="C711" s="652" t="s">
        <v>96</v>
      </c>
      <c r="D711" s="534"/>
      <c r="E711" s="313"/>
      <c r="F711" s="313"/>
      <c r="G711" s="313"/>
      <c r="H711" s="704"/>
      <c r="I711" s="704"/>
      <c r="J711" s="726"/>
      <c r="K711" s="704"/>
      <c r="L711" s="704"/>
      <c r="M711" s="704"/>
      <c r="N711" s="704"/>
      <c r="O711" s="313"/>
    </row>
    <row r="712" spans="1:16" ht="15.75" thickBot="1">
      <c r="C712" s="240"/>
      <c r="D712" s="534"/>
      <c r="E712" s="313"/>
      <c r="F712" s="313"/>
      <c r="G712" s="313"/>
      <c r="H712" s="704"/>
      <c r="I712" s="704"/>
      <c r="J712" s="726"/>
      <c r="K712" s="704"/>
      <c r="L712" s="704"/>
      <c r="M712" s="704"/>
      <c r="N712" s="704"/>
      <c r="O712" s="313"/>
    </row>
    <row r="713" spans="1:16" ht="15.75">
      <c r="C713" s="655" t="s">
        <v>97</v>
      </c>
      <c r="D713" s="534"/>
      <c r="E713" s="313"/>
      <c r="F713" s="313"/>
      <c r="G713" s="802"/>
      <c r="H713" s="313" t="s">
        <v>76</v>
      </c>
      <c r="I713" s="313"/>
      <c r="J713" s="423"/>
      <c r="K713" s="736" t="s">
        <v>101</v>
      </c>
      <c r="L713" s="737"/>
      <c r="M713" s="738"/>
      <c r="N713" s="739">
        <f>IF(I719=0,0,VLOOKUP(I719,C726:O785,5))</f>
        <v>7981291.618451315</v>
      </c>
      <c r="O713" s="313"/>
    </row>
    <row r="714" spans="1:16" ht="15.75">
      <c r="C714" s="655"/>
      <c r="D714" s="534"/>
      <c r="E714" s="313"/>
      <c r="F714" s="313"/>
      <c r="G714" s="313"/>
      <c r="H714" s="740"/>
      <c r="I714" s="740"/>
      <c r="J714" s="741"/>
      <c r="K714" s="742" t="s">
        <v>102</v>
      </c>
      <c r="L714" s="743"/>
      <c r="M714" s="423"/>
      <c r="N714" s="744">
        <f>IF(I719=0,0,VLOOKUP(I719,C726:O785,6))</f>
        <v>7981291.618451315</v>
      </c>
      <c r="O714" s="313"/>
    </row>
    <row r="715" spans="1:16" ht="13.5" thickBot="1">
      <c r="C715" s="745" t="s">
        <v>98</v>
      </c>
      <c r="D715" s="1557" t="s">
        <v>824</v>
      </c>
      <c r="E715" s="1557"/>
      <c r="F715" s="1557"/>
      <c r="G715" s="1557"/>
      <c r="H715" s="1557"/>
      <c r="I715" s="1557"/>
      <c r="J715" s="726"/>
      <c r="K715" s="746" t="s">
        <v>240</v>
      </c>
      <c r="L715" s="747"/>
      <c r="M715" s="747"/>
      <c r="N715" s="748">
        <f>+N714-N713</f>
        <v>0</v>
      </c>
      <c r="O715" s="313"/>
    </row>
    <row r="716" spans="1:16">
      <c r="C716" s="749"/>
      <c r="D716" s="1557"/>
      <c r="E716" s="1557"/>
      <c r="F716" s="1557"/>
      <c r="G716" s="1557"/>
      <c r="H716" s="1557"/>
      <c r="I716" s="1557"/>
      <c r="J716" s="726"/>
      <c r="K716" s="704"/>
      <c r="L716" s="704"/>
      <c r="M716" s="704"/>
      <c r="N716" s="704"/>
      <c r="O716" s="313"/>
    </row>
    <row r="717" spans="1:16" ht="13.5" thickBot="1">
      <c r="C717" s="752"/>
      <c r="D717" s="753"/>
      <c r="E717" s="751"/>
      <c r="F717" s="751"/>
      <c r="G717" s="751"/>
      <c r="H717" s="751"/>
      <c r="I717" s="751"/>
      <c r="J717" s="754"/>
      <c r="K717" s="751"/>
      <c r="L717" s="751"/>
      <c r="M717" s="751"/>
      <c r="N717" s="751"/>
      <c r="O717" s="346"/>
    </row>
    <row r="718" spans="1:16" ht="13.5" thickBot="1">
      <c r="C718" s="755" t="s">
        <v>99</v>
      </c>
      <c r="D718" s="756"/>
      <c r="E718" s="756"/>
      <c r="F718" s="756"/>
      <c r="G718" s="756"/>
      <c r="H718" s="756"/>
      <c r="I718" s="757"/>
      <c r="J718" s="758"/>
      <c r="K718" s="313"/>
      <c r="L718" s="313"/>
      <c r="M718" s="313"/>
      <c r="N718" s="313"/>
      <c r="O718" s="759"/>
    </row>
    <row r="719" spans="1:16" ht="15">
      <c r="C719" s="760" t="s">
        <v>77</v>
      </c>
      <c r="D719" s="1306">
        <v>62379701</v>
      </c>
      <c r="E719" s="721" t="s">
        <v>78</v>
      </c>
      <c r="G719" s="761"/>
      <c r="H719" s="761"/>
      <c r="I719" s="762">
        <f>$L$26</f>
        <v>2021</v>
      </c>
      <c r="J719" s="550"/>
      <c r="K719" s="1558" t="s">
        <v>249</v>
      </c>
      <c r="L719" s="1558"/>
      <c r="M719" s="1558"/>
      <c r="N719" s="1558"/>
      <c r="O719" s="1558"/>
    </row>
    <row r="720" spans="1:16">
      <c r="C720" s="760" t="s">
        <v>80</v>
      </c>
      <c r="D720" s="1307">
        <v>2016</v>
      </c>
      <c r="E720" s="760" t="s">
        <v>81</v>
      </c>
      <c r="F720" s="761"/>
      <c r="H720" s="173"/>
      <c r="I720" s="806">
        <f>IF(G713="",0,$F$17)</f>
        <v>0</v>
      </c>
      <c r="J720" s="763"/>
      <c r="K720" s="726" t="s">
        <v>249</v>
      </c>
    </row>
    <row r="721" spans="2:15">
      <c r="C721" s="760" t="s">
        <v>82</v>
      </c>
      <c r="D721" s="1308">
        <v>12</v>
      </c>
      <c r="E721" s="760" t="s">
        <v>83</v>
      </c>
      <c r="F721" s="761"/>
      <c r="H721" s="173"/>
      <c r="I721" s="764">
        <f>$G$70</f>
        <v>0.11565015966136639</v>
      </c>
      <c r="J721" s="765"/>
      <c r="K721" s="173" t="str">
        <f>"          INPUT PROJECTED ARR (WITH &amp; WITHOUT INCENTIVES) FROM EACH PRIOR YEAR"</f>
        <v xml:space="preserve">          INPUT PROJECTED ARR (WITH &amp; WITHOUT INCENTIVES) FROM EACH PRIOR YEAR</v>
      </c>
    </row>
    <row r="722" spans="2:15">
      <c r="C722" s="760" t="s">
        <v>84</v>
      </c>
      <c r="D722" s="766">
        <f>$G$79</f>
        <v>39</v>
      </c>
      <c r="E722" s="760" t="s">
        <v>85</v>
      </c>
      <c r="F722" s="761"/>
      <c r="H722" s="173"/>
      <c r="I722" s="764">
        <f>IF(G713="",I721,$G$69)</f>
        <v>0.11565015966136639</v>
      </c>
      <c r="J722" s="767"/>
      <c r="K722" s="173" t="s">
        <v>162</v>
      </c>
    </row>
    <row r="723" spans="2:15" ht="13.5" thickBot="1">
      <c r="C723" s="760" t="s">
        <v>86</v>
      </c>
      <c r="D723" s="803" t="s">
        <v>814</v>
      </c>
      <c r="E723" s="768" t="s">
        <v>87</v>
      </c>
      <c r="F723" s="769"/>
      <c r="G723" s="770"/>
      <c r="H723" s="770"/>
      <c r="I723" s="748">
        <f>IF(D719=0,0,D719/D722)</f>
        <v>1599479.5128205128</v>
      </c>
      <c r="J723" s="726"/>
      <c r="K723" s="726" t="s">
        <v>168</v>
      </c>
      <c r="L723" s="726"/>
      <c r="M723" s="726"/>
      <c r="N723" s="726"/>
      <c r="O723" s="423"/>
    </row>
    <row r="724" spans="2:15" ht="51">
      <c r="B724" s="841"/>
      <c r="C724" s="771" t="s">
        <v>77</v>
      </c>
      <c r="D724" s="772" t="s">
        <v>88</v>
      </c>
      <c r="E724" s="773" t="s">
        <v>89</v>
      </c>
      <c r="F724" s="772" t="s">
        <v>90</v>
      </c>
      <c r="G724" s="773" t="s">
        <v>161</v>
      </c>
      <c r="H724" s="774" t="s">
        <v>161</v>
      </c>
      <c r="I724" s="771" t="s">
        <v>100</v>
      </c>
      <c r="J724" s="775"/>
      <c r="K724" s="773" t="s">
        <v>170</v>
      </c>
      <c r="L724" s="776"/>
      <c r="M724" s="773" t="s">
        <v>170</v>
      </c>
      <c r="N724" s="776"/>
      <c r="O724" s="776"/>
    </row>
    <row r="725" spans="2:15" ht="13.5" thickBot="1">
      <c r="C725" s="777" t="s">
        <v>477</v>
      </c>
      <c r="D725" s="778" t="s">
        <v>478</v>
      </c>
      <c r="E725" s="777" t="s">
        <v>371</v>
      </c>
      <c r="F725" s="778" t="s">
        <v>478</v>
      </c>
      <c r="G725" s="779" t="s">
        <v>103</v>
      </c>
      <c r="H725" s="780" t="s">
        <v>105</v>
      </c>
      <c r="I725" s="781" t="s">
        <v>17</v>
      </c>
      <c r="J725" s="782"/>
      <c r="K725" s="779" t="s">
        <v>92</v>
      </c>
      <c r="L725" s="783"/>
      <c r="M725" s="779" t="s">
        <v>105</v>
      </c>
      <c r="N725" s="783"/>
      <c r="O725" s="783"/>
    </row>
    <row r="726" spans="2:15">
      <c r="C726" s="784">
        <f>IF(D720= "","-",D720)</f>
        <v>2016</v>
      </c>
      <c r="D726" s="732">
        <f>+D719</f>
        <v>62379701</v>
      </c>
      <c r="E726" s="785">
        <f>+I723/12*(12-D721)</f>
        <v>0</v>
      </c>
      <c r="F726" s="732">
        <f>+D726-E726</f>
        <v>62379701</v>
      </c>
      <c r="G726" s="993">
        <f>+$I$96*((D726+F726)/2)+E726</f>
        <v>7214222.3802782968</v>
      </c>
      <c r="H726" s="994">
        <f>$I$97*((D726+F726)/2)+E726</f>
        <v>7214222.3802782968</v>
      </c>
      <c r="I726" s="788">
        <f>+H726-G726</f>
        <v>0</v>
      </c>
      <c r="J726" s="788"/>
      <c r="K726" s="1309">
        <v>5764647</v>
      </c>
      <c r="L726" s="789"/>
      <c r="M726" s="1309">
        <v>5764647</v>
      </c>
      <c r="N726" s="789"/>
      <c r="O726" s="789"/>
    </row>
    <row r="727" spans="2:15">
      <c r="C727" s="784">
        <f>IF(D720="","-",+C726+1)</f>
        <v>2017</v>
      </c>
      <c r="D727" s="732">
        <f t="shared" ref="D727:D785" si="42">F726</f>
        <v>62379701</v>
      </c>
      <c r="E727" s="785">
        <f>IF(D727&gt;$I$723,$I$723,D727)</f>
        <v>1599479.5128205128</v>
      </c>
      <c r="F727" s="732">
        <f t="shared" ref="F727:F785" si="43">+D727-E727</f>
        <v>60780221.487179488</v>
      </c>
      <c r="G727" s="790">
        <f t="shared" ref="G727:G785" si="44">+$I$96*((D727+F727)/2)+E727</f>
        <v>8721211.8625824209</v>
      </c>
      <c r="H727" s="791">
        <f t="shared" ref="H727:H785" si="45">$I$97*((D727+F727)/2)+E727</f>
        <v>8721211.8625824209</v>
      </c>
      <c r="I727" s="788">
        <f t="shared" ref="I727:I785" si="46">+H727-G727</f>
        <v>0</v>
      </c>
      <c r="J727" s="788"/>
      <c r="K727" s="1310">
        <v>7201236</v>
      </c>
      <c r="L727" s="792"/>
      <c r="M727" s="1310">
        <v>7201236</v>
      </c>
      <c r="N727" s="792"/>
      <c r="O727" s="792"/>
    </row>
    <row r="728" spans="2:15">
      <c r="C728" s="1327">
        <f>IF(D720="","-",+C727+1)</f>
        <v>2018</v>
      </c>
      <c r="D728" s="732">
        <f t="shared" si="42"/>
        <v>60780221.487179488</v>
      </c>
      <c r="E728" s="785">
        <f t="shared" ref="E728:E785" si="47">IF(D728&gt;$I$723,$I$723,D728)</f>
        <v>1599479.5128205128</v>
      </c>
      <c r="F728" s="732">
        <f t="shared" si="43"/>
        <v>59180741.974358976</v>
      </c>
      <c r="G728" s="790">
        <f t="shared" si="44"/>
        <v>8536231.8015496451</v>
      </c>
      <c r="H728" s="791">
        <f t="shared" si="45"/>
        <v>8536231.8015496451</v>
      </c>
      <c r="I728" s="788">
        <f t="shared" si="46"/>
        <v>0</v>
      </c>
      <c r="J728" s="788"/>
      <c r="K728" s="808">
        <v>7115546</v>
      </c>
      <c r="L728" s="792"/>
      <c r="M728" s="808">
        <v>7115546</v>
      </c>
      <c r="N728" s="792"/>
      <c r="O728" s="792"/>
    </row>
    <row r="729" spans="2:15">
      <c r="C729" s="1304">
        <f>IF(D720="","-",+C728+1)</f>
        <v>2019</v>
      </c>
      <c r="D729" s="732">
        <f t="shared" si="42"/>
        <v>59180741.974358976</v>
      </c>
      <c r="E729" s="785">
        <f t="shared" si="47"/>
        <v>1599479.5128205128</v>
      </c>
      <c r="F729" s="732">
        <f t="shared" si="43"/>
        <v>57581262.461538464</v>
      </c>
      <c r="G729" s="790">
        <f t="shared" si="44"/>
        <v>8351251.7405168684</v>
      </c>
      <c r="H729" s="791">
        <f t="shared" si="45"/>
        <v>8351251.7405168684</v>
      </c>
      <c r="I729" s="788">
        <f t="shared" si="46"/>
        <v>0</v>
      </c>
      <c r="J729" s="788"/>
      <c r="K729" s="808"/>
      <c r="L729" s="792"/>
      <c r="M729" s="808"/>
      <c r="N729" s="792"/>
      <c r="O729" s="792"/>
    </row>
    <row r="730" spans="2:15">
      <c r="C730" s="1305">
        <f>IF(D720="","-",+C729+1)</f>
        <v>2020</v>
      </c>
      <c r="D730" s="732">
        <f t="shared" si="42"/>
        <v>57581262.461538464</v>
      </c>
      <c r="E730" s="785">
        <f t="shared" si="47"/>
        <v>1599479.5128205128</v>
      </c>
      <c r="F730" s="732">
        <f t="shared" si="43"/>
        <v>55981782.948717952</v>
      </c>
      <c r="G730" s="790">
        <f t="shared" si="44"/>
        <v>8166271.6794840917</v>
      </c>
      <c r="H730" s="791">
        <f t="shared" si="45"/>
        <v>8166271.6794840917</v>
      </c>
      <c r="I730" s="788">
        <f t="shared" si="46"/>
        <v>0</v>
      </c>
      <c r="J730" s="788"/>
      <c r="K730" s="808"/>
      <c r="L730" s="792"/>
      <c r="M730" s="808"/>
      <c r="N730" s="792"/>
      <c r="O730" s="792"/>
    </row>
    <row r="731" spans="2:15">
      <c r="C731" s="1305">
        <f>IF(D720="","-",+C730+1)</f>
        <v>2021</v>
      </c>
      <c r="D731" s="732">
        <f t="shared" si="42"/>
        <v>55981782.948717952</v>
      </c>
      <c r="E731" s="785">
        <f t="shared" si="47"/>
        <v>1599479.5128205128</v>
      </c>
      <c r="F731" s="732">
        <f t="shared" si="43"/>
        <v>54382303.43589744</v>
      </c>
      <c r="G731" s="790">
        <f t="shared" si="44"/>
        <v>7981291.618451315</v>
      </c>
      <c r="H731" s="791">
        <f t="shared" si="45"/>
        <v>7981291.618451315</v>
      </c>
      <c r="I731" s="788">
        <f t="shared" si="46"/>
        <v>0</v>
      </c>
      <c r="J731" s="788"/>
      <c r="K731" s="808"/>
      <c r="L731" s="792"/>
      <c r="M731" s="808"/>
      <c r="N731" s="792"/>
      <c r="O731" s="792"/>
    </row>
    <row r="732" spans="2:15">
      <c r="C732" s="784">
        <f>IF(D720="","-",+C731+1)</f>
        <v>2022</v>
      </c>
      <c r="D732" s="732">
        <f t="shared" si="42"/>
        <v>54382303.43589744</v>
      </c>
      <c r="E732" s="785">
        <f t="shared" si="47"/>
        <v>1599479.5128205128</v>
      </c>
      <c r="F732" s="732">
        <f t="shared" si="43"/>
        <v>52782823.923076928</v>
      </c>
      <c r="G732" s="790">
        <f t="shared" si="44"/>
        <v>7796311.5574185373</v>
      </c>
      <c r="H732" s="791">
        <f t="shared" si="45"/>
        <v>7796311.5574185373</v>
      </c>
      <c r="I732" s="788">
        <f t="shared" si="46"/>
        <v>0</v>
      </c>
      <c r="J732" s="788"/>
      <c r="K732" s="808"/>
      <c r="L732" s="792"/>
      <c r="M732" s="808"/>
      <c r="N732" s="792"/>
      <c r="O732" s="792"/>
    </row>
    <row r="733" spans="2:15">
      <c r="C733" s="784">
        <f>IF(D720="","-",+C732+1)</f>
        <v>2023</v>
      </c>
      <c r="D733" s="732">
        <f t="shared" si="42"/>
        <v>52782823.923076928</v>
      </c>
      <c r="E733" s="785">
        <f t="shared" si="47"/>
        <v>1599479.5128205128</v>
      </c>
      <c r="F733" s="732">
        <f t="shared" si="43"/>
        <v>51183344.410256416</v>
      </c>
      <c r="G733" s="790">
        <f t="shared" si="44"/>
        <v>7611331.4963857606</v>
      </c>
      <c r="H733" s="791">
        <f t="shared" si="45"/>
        <v>7611331.4963857606</v>
      </c>
      <c r="I733" s="788">
        <f t="shared" si="46"/>
        <v>0</v>
      </c>
      <c r="J733" s="788"/>
      <c r="K733" s="808"/>
      <c r="L733" s="792"/>
      <c r="M733" s="808"/>
      <c r="N733" s="792"/>
      <c r="O733" s="792"/>
    </row>
    <row r="734" spans="2:15">
      <c r="C734" s="784">
        <f>IF(D720="","-",+C733+1)</f>
        <v>2024</v>
      </c>
      <c r="D734" s="732">
        <f t="shared" si="42"/>
        <v>51183344.410256416</v>
      </c>
      <c r="E734" s="785">
        <f t="shared" si="47"/>
        <v>1599479.5128205128</v>
      </c>
      <c r="F734" s="732">
        <f t="shared" si="43"/>
        <v>49583864.897435904</v>
      </c>
      <c r="G734" s="790">
        <f t="shared" si="44"/>
        <v>7426351.4353529839</v>
      </c>
      <c r="H734" s="791">
        <f t="shared" si="45"/>
        <v>7426351.4353529839</v>
      </c>
      <c r="I734" s="788">
        <f t="shared" si="46"/>
        <v>0</v>
      </c>
      <c r="J734" s="788"/>
      <c r="K734" s="808"/>
      <c r="L734" s="792"/>
      <c r="M734" s="808"/>
      <c r="N734" s="792"/>
      <c r="O734" s="792"/>
    </row>
    <row r="735" spans="2:15">
      <c r="C735" s="784">
        <f>IF(D720="","-",+C734+1)</f>
        <v>2025</v>
      </c>
      <c r="D735" s="732">
        <f t="shared" si="42"/>
        <v>49583864.897435904</v>
      </c>
      <c r="E735" s="785">
        <f t="shared" si="47"/>
        <v>1599479.5128205128</v>
      </c>
      <c r="F735" s="732">
        <f t="shared" si="43"/>
        <v>47984385.384615391</v>
      </c>
      <c r="G735" s="790">
        <f t="shared" si="44"/>
        <v>7241371.3743202072</v>
      </c>
      <c r="H735" s="791">
        <f t="shared" si="45"/>
        <v>7241371.3743202072</v>
      </c>
      <c r="I735" s="788">
        <f t="shared" si="46"/>
        <v>0</v>
      </c>
      <c r="J735" s="788"/>
      <c r="K735" s="808"/>
      <c r="L735" s="792"/>
      <c r="M735" s="808"/>
      <c r="N735" s="792"/>
      <c r="O735" s="792"/>
    </row>
    <row r="736" spans="2:15">
      <c r="C736" s="784">
        <f>IF(D720="","-",+C735+1)</f>
        <v>2026</v>
      </c>
      <c r="D736" s="732">
        <f t="shared" si="42"/>
        <v>47984385.384615391</v>
      </c>
      <c r="E736" s="785">
        <f t="shared" si="47"/>
        <v>1599479.5128205128</v>
      </c>
      <c r="F736" s="732">
        <f t="shared" si="43"/>
        <v>46384905.871794879</v>
      </c>
      <c r="G736" s="790">
        <f t="shared" si="44"/>
        <v>7056391.3132874304</v>
      </c>
      <c r="H736" s="791">
        <f t="shared" si="45"/>
        <v>7056391.3132874304</v>
      </c>
      <c r="I736" s="788">
        <f t="shared" si="46"/>
        <v>0</v>
      </c>
      <c r="J736" s="788"/>
      <c r="K736" s="808"/>
      <c r="L736" s="792"/>
      <c r="M736" s="808"/>
      <c r="N736" s="792"/>
      <c r="O736" s="792"/>
    </row>
    <row r="737" spans="3:15">
      <c r="C737" s="784">
        <f>IF(D720="","-",+C736+1)</f>
        <v>2027</v>
      </c>
      <c r="D737" s="732">
        <f t="shared" si="42"/>
        <v>46384905.871794879</v>
      </c>
      <c r="E737" s="785">
        <f t="shared" si="47"/>
        <v>1599479.5128205128</v>
      </c>
      <c r="F737" s="732">
        <f t="shared" si="43"/>
        <v>44785426.358974367</v>
      </c>
      <c r="G737" s="790">
        <f t="shared" si="44"/>
        <v>6871411.2522546537</v>
      </c>
      <c r="H737" s="791">
        <f t="shared" si="45"/>
        <v>6871411.2522546537</v>
      </c>
      <c r="I737" s="788">
        <f t="shared" si="46"/>
        <v>0</v>
      </c>
      <c r="J737" s="788"/>
      <c r="K737" s="808"/>
      <c r="L737" s="792"/>
      <c r="M737" s="808"/>
      <c r="N737" s="792"/>
      <c r="O737" s="792"/>
    </row>
    <row r="738" spans="3:15">
      <c r="C738" s="784">
        <f>IF(D720="","-",+C737+1)</f>
        <v>2028</v>
      </c>
      <c r="D738" s="732">
        <f t="shared" si="42"/>
        <v>44785426.358974367</v>
      </c>
      <c r="E738" s="785">
        <f t="shared" si="47"/>
        <v>1599479.5128205128</v>
      </c>
      <c r="F738" s="732">
        <f t="shared" si="43"/>
        <v>43185946.846153855</v>
      </c>
      <c r="G738" s="790">
        <f t="shared" si="44"/>
        <v>6686431.191221877</v>
      </c>
      <c r="H738" s="791">
        <f t="shared" si="45"/>
        <v>6686431.191221877</v>
      </c>
      <c r="I738" s="788">
        <f t="shared" si="46"/>
        <v>0</v>
      </c>
      <c r="J738" s="788"/>
      <c r="K738" s="808"/>
      <c r="L738" s="792"/>
      <c r="M738" s="808"/>
      <c r="N738" s="793"/>
      <c r="O738" s="792"/>
    </row>
    <row r="739" spans="3:15">
      <c r="C739" s="784">
        <f>IF(D720="","-",+C738+1)</f>
        <v>2029</v>
      </c>
      <c r="D739" s="732">
        <f t="shared" si="42"/>
        <v>43185946.846153855</v>
      </c>
      <c r="E739" s="785">
        <f t="shared" si="47"/>
        <v>1599479.5128205128</v>
      </c>
      <c r="F739" s="732">
        <f t="shared" si="43"/>
        <v>41586467.333333343</v>
      </c>
      <c r="G739" s="790">
        <f t="shared" si="44"/>
        <v>6501451.1301891003</v>
      </c>
      <c r="H739" s="791">
        <f t="shared" si="45"/>
        <v>6501451.1301891003</v>
      </c>
      <c r="I739" s="788">
        <f t="shared" si="46"/>
        <v>0</v>
      </c>
      <c r="J739" s="788"/>
      <c r="K739" s="808"/>
      <c r="L739" s="792"/>
      <c r="M739" s="808"/>
      <c r="N739" s="792"/>
      <c r="O739" s="792"/>
    </row>
    <row r="740" spans="3:15">
      <c r="C740" s="784">
        <f>IF(D720="","-",+C739+1)</f>
        <v>2030</v>
      </c>
      <c r="D740" s="732">
        <f t="shared" si="42"/>
        <v>41586467.333333343</v>
      </c>
      <c r="E740" s="785">
        <f t="shared" si="47"/>
        <v>1599479.5128205128</v>
      </c>
      <c r="F740" s="732">
        <f t="shared" si="43"/>
        <v>39986987.820512831</v>
      </c>
      <c r="G740" s="790">
        <f t="shared" si="44"/>
        <v>6316471.0691563236</v>
      </c>
      <c r="H740" s="791">
        <f t="shared" si="45"/>
        <v>6316471.0691563236</v>
      </c>
      <c r="I740" s="788">
        <f t="shared" si="46"/>
        <v>0</v>
      </c>
      <c r="J740" s="788"/>
      <c r="K740" s="808"/>
      <c r="L740" s="792"/>
      <c r="M740" s="808"/>
      <c r="N740" s="792"/>
      <c r="O740" s="792"/>
    </row>
    <row r="741" spans="3:15">
      <c r="C741" s="784">
        <f>IF(D720="","-",+C740+1)</f>
        <v>2031</v>
      </c>
      <c r="D741" s="732">
        <f t="shared" si="42"/>
        <v>39986987.820512831</v>
      </c>
      <c r="E741" s="785">
        <f t="shared" si="47"/>
        <v>1599479.5128205128</v>
      </c>
      <c r="F741" s="732">
        <f t="shared" si="43"/>
        <v>38387508.307692319</v>
      </c>
      <c r="G741" s="790">
        <f t="shared" si="44"/>
        <v>6131491.0081235468</v>
      </c>
      <c r="H741" s="791">
        <f t="shared" si="45"/>
        <v>6131491.0081235468</v>
      </c>
      <c r="I741" s="788">
        <f t="shared" si="46"/>
        <v>0</v>
      </c>
      <c r="J741" s="788"/>
      <c r="K741" s="808"/>
      <c r="L741" s="792"/>
      <c r="M741" s="808"/>
      <c r="N741" s="792"/>
      <c r="O741" s="792"/>
    </row>
    <row r="742" spans="3:15">
      <c r="C742" s="784">
        <f>IF(D720="","-",+C741+1)</f>
        <v>2032</v>
      </c>
      <c r="D742" s="732">
        <f t="shared" si="42"/>
        <v>38387508.307692319</v>
      </c>
      <c r="E742" s="785">
        <f t="shared" si="47"/>
        <v>1599479.5128205128</v>
      </c>
      <c r="F742" s="732">
        <f t="shared" si="43"/>
        <v>36788028.794871807</v>
      </c>
      <c r="G742" s="790">
        <f t="shared" si="44"/>
        <v>5946510.9470907701</v>
      </c>
      <c r="H742" s="791">
        <f t="shared" si="45"/>
        <v>5946510.9470907701</v>
      </c>
      <c r="I742" s="788">
        <f t="shared" si="46"/>
        <v>0</v>
      </c>
      <c r="J742" s="788"/>
      <c r="K742" s="808"/>
      <c r="L742" s="792"/>
      <c r="M742" s="808"/>
      <c r="N742" s="792"/>
      <c r="O742" s="792"/>
    </row>
    <row r="743" spans="3:15">
      <c r="C743" s="784">
        <f>IF(D720="","-",+C742+1)</f>
        <v>2033</v>
      </c>
      <c r="D743" s="732">
        <f t="shared" si="42"/>
        <v>36788028.794871807</v>
      </c>
      <c r="E743" s="785">
        <f t="shared" si="47"/>
        <v>1599479.5128205128</v>
      </c>
      <c r="F743" s="732">
        <f t="shared" si="43"/>
        <v>35188549.282051295</v>
      </c>
      <c r="G743" s="790">
        <f t="shared" si="44"/>
        <v>5761530.8860579934</v>
      </c>
      <c r="H743" s="791">
        <f t="shared" si="45"/>
        <v>5761530.8860579934</v>
      </c>
      <c r="I743" s="788">
        <f t="shared" si="46"/>
        <v>0</v>
      </c>
      <c r="J743" s="788"/>
      <c r="K743" s="808"/>
      <c r="L743" s="792"/>
      <c r="M743" s="808"/>
      <c r="N743" s="792"/>
      <c r="O743" s="792"/>
    </row>
    <row r="744" spans="3:15">
      <c r="C744" s="784">
        <f>IF(D720="","-",+C743+1)</f>
        <v>2034</v>
      </c>
      <c r="D744" s="732">
        <f t="shared" si="42"/>
        <v>35188549.282051295</v>
      </c>
      <c r="E744" s="785">
        <f t="shared" si="47"/>
        <v>1599479.5128205128</v>
      </c>
      <c r="F744" s="732">
        <f t="shared" si="43"/>
        <v>33589069.769230783</v>
      </c>
      <c r="G744" s="790">
        <f t="shared" si="44"/>
        <v>5576550.8250252167</v>
      </c>
      <c r="H744" s="791">
        <f t="shared" si="45"/>
        <v>5576550.8250252167</v>
      </c>
      <c r="I744" s="788">
        <f t="shared" si="46"/>
        <v>0</v>
      </c>
      <c r="J744" s="788"/>
      <c r="K744" s="808"/>
      <c r="L744" s="792"/>
      <c r="M744" s="808"/>
      <c r="N744" s="792"/>
      <c r="O744" s="792"/>
    </row>
    <row r="745" spans="3:15">
      <c r="C745" s="784">
        <f>IF(D720="","-",+C744+1)</f>
        <v>2035</v>
      </c>
      <c r="D745" s="732">
        <f t="shared" si="42"/>
        <v>33589069.769230783</v>
      </c>
      <c r="E745" s="785">
        <f t="shared" si="47"/>
        <v>1599479.5128205128</v>
      </c>
      <c r="F745" s="732">
        <f t="shared" si="43"/>
        <v>31989590.256410271</v>
      </c>
      <c r="G745" s="790">
        <f t="shared" si="44"/>
        <v>5391570.76399244</v>
      </c>
      <c r="H745" s="791">
        <f t="shared" si="45"/>
        <v>5391570.76399244</v>
      </c>
      <c r="I745" s="788">
        <f t="shared" si="46"/>
        <v>0</v>
      </c>
      <c r="J745" s="788"/>
      <c r="K745" s="808"/>
      <c r="L745" s="792"/>
      <c r="M745" s="808"/>
      <c r="N745" s="792"/>
      <c r="O745" s="792"/>
    </row>
    <row r="746" spans="3:15">
      <c r="C746" s="784">
        <f>IF(D720="","-",+C745+1)</f>
        <v>2036</v>
      </c>
      <c r="D746" s="732">
        <f t="shared" si="42"/>
        <v>31989590.256410271</v>
      </c>
      <c r="E746" s="785">
        <f t="shared" si="47"/>
        <v>1599479.5128205128</v>
      </c>
      <c r="F746" s="732">
        <f t="shared" si="43"/>
        <v>30390110.743589759</v>
      </c>
      <c r="G746" s="790">
        <f t="shared" si="44"/>
        <v>5206590.7029596632</v>
      </c>
      <c r="H746" s="791">
        <f t="shared" si="45"/>
        <v>5206590.7029596632</v>
      </c>
      <c r="I746" s="788">
        <f t="shared" si="46"/>
        <v>0</v>
      </c>
      <c r="J746" s="788"/>
      <c r="K746" s="808"/>
      <c r="L746" s="792"/>
      <c r="M746" s="808"/>
      <c r="N746" s="792"/>
      <c r="O746" s="792"/>
    </row>
    <row r="747" spans="3:15">
      <c r="C747" s="784">
        <f>IF(D720="","-",+C746+1)</f>
        <v>2037</v>
      </c>
      <c r="D747" s="732">
        <f t="shared" si="42"/>
        <v>30390110.743589759</v>
      </c>
      <c r="E747" s="785">
        <f t="shared" si="47"/>
        <v>1599479.5128205128</v>
      </c>
      <c r="F747" s="732">
        <f t="shared" si="43"/>
        <v>28790631.230769247</v>
      </c>
      <c r="G747" s="790">
        <f t="shared" si="44"/>
        <v>5021610.6419268865</v>
      </c>
      <c r="H747" s="791">
        <f t="shared" si="45"/>
        <v>5021610.6419268865</v>
      </c>
      <c r="I747" s="788">
        <f t="shared" si="46"/>
        <v>0</v>
      </c>
      <c r="J747" s="788"/>
      <c r="K747" s="808"/>
      <c r="L747" s="792"/>
      <c r="M747" s="808"/>
      <c r="N747" s="792"/>
      <c r="O747" s="792"/>
    </row>
    <row r="748" spans="3:15">
      <c r="C748" s="784">
        <f>IF(D720="","-",+C747+1)</f>
        <v>2038</v>
      </c>
      <c r="D748" s="732">
        <f t="shared" si="42"/>
        <v>28790631.230769247</v>
      </c>
      <c r="E748" s="785">
        <f t="shared" si="47"/>
        <v>1599479.5128205128</v>
      </c>
      <c r="F748" s="732">
        <f t="shared" si="43"/>
        <v>27191151.717948735</v>
      </c>
      <c r="G748" s="790">
        <f t="shared" si="44"/>
        <v>4836630.5808941098</v>
      </c>
      <c r="H748" s="791">
        <f t="shared" si="45"/>
        <v>4836630.5808941098</v>
      </c>
      <c r="I748" s="788">
        <f t="shared" si="46"/>
        <v>0</v>
      </c>
      <c r="J748" s="788"/>
      <c r="K748" s="808"/>
      <c r="L748" s="792"/>
      <c r="M748" s="808"/>
      <c r="N748" s="792"/>
      <c r="O748" s="792"/>
    </row>
    <row r="749" spans="3:15">
      <c r="C749" s="784">
        <f>IF(D720="","-",+C748+1)</f>
        <v>2039</v>
      </c>
      <c r="D749" s="732">
        <f t="shared" si="42"/>
        <v>27191151.717948735</v>
      </c>
      <c r="E749" s="785">
        <f t="shared" si="47"/>
        <v>1599479.5128205128</v>
      </c>
      <c r="F749" s="732">
        <f t="shared" si="43"/>
        <v>25591672.205128223</v>
      </c>
      <c r="G749" s="790">
        <f t="shared" si="44"/>
        <v>4651650.5198613331</v>
      </c>
      <c r="H749" s="791">
        <f t="shared" si="45"/>
        <v>4651650.5198613331</v>
      </c>
      <c r="I749" s="788">
        <f t="shared" si="46"/>
        <v>0</v>
      </c>
      <c r="J749" s="788"/>
      <c r="K749" s="808"/>
      <c r="L749" s="792"/>
      <c r="M749" s="808"/>
      <c r="N749" s="792"/>
      <c r="O749" s="792"/>
    </row>
    <row r="750" spans="3:15">
      <c r="C750" s="784">
        <f>IF(D720="","-",+C749+1)</f>
        <v>2040</v>
      </c>
      <c r="D750" s="732">
        <f t="shared" si="42"/>
        <v>25591672.205128223</v>
      </c>
      <c r="E750" s="785">
        <f t="shared" si="47"/>
        <v>1599479.5128205128</v>
      </c>
      <c r="F750" s="732">
        <f t="shared" si="43"/>
        <v>23992192.692307711</v>
      </c>
      <c r="G750" s="790">
        <f t="shared" si="44"/>
        <v>4466670.4588285564</v>
      </c>
      <c r="H750" s="791">
        <f t="shared" si="45"/>
        <v>4466670.4588285564</v>
      </c>
      <c r="I750" s="788">
        <f t="shared" si="46"/>
        <v>0</v>
      </c>
      <c r="J750" s="788"/>
      <c r="K750" s="808"/>
      <c r="L750" s="792"/>
      <c r="M750" s="808"/>
      <c r="N750" s="792"/>
      <c r="O750" s="792"/>
    </row>
    <row r="751" spans="3:15">
      <c r="C751" s="784">
        <f>IF(D720="","-",+C750+1)</f>
        <v>2041</v>
      </c>
      <c r="D751" s="732">
        <f t="shared" si="42"/>
        <v>23992192.692307711</v>
      </c>
      <c r="E751" s="785">
        <f t="shared" si="47"/>
        <v>1599479.5128205128</v>
      </c>
      <c r="F751" s="732">
        <f t="shared" si="43"/>
        <v>22392713.179487199</v>
      </c>
      <c r="G751" s="790">
        <f t="shared" si="44"/>
        <v>4281690.3977957796</v>
      </c>
      <c r="H751" s="791">
        <f t="shared" si="45"/>
        <v>4281690.3977957796</v>
      </c>
      <c r="I751" s="788">
        <f t="shared" si="46"/>
        <v>0</v>
      </c>
      <c r="J751" s="788"/>
      <c r="K751" s="808"/>
      <c r="L751" s="792"/>
      <c r="M751" s="808"/>
      <c r="N751" s="792"/>
      <c r="O751" s="792"/>
    </row>
    <row r="752" spans="3:15">
      <c r="C752" s="784">
        <f>IF(D720="","-",+C751+1)</f>
        <v>2042</v>
      </c>
      <c r="D752" s="732">
        <f t="shared" si="42"/>
        <v>22392713.179487199</v>
      </c>
      <c r="E752" s="785">
        <f t="shared" si="47"/>
        <v>1599479.5128205128</v>
      </c>
      <c r="F752" s="732">
        <f t="shared" si="43"/>
        <v>20793233.666666687</v>
      </c>
      <c r="G752" s="790">
        <f t="shared" si="44"/>
        <v>4096710.336763002</v>
      </c>
      <c r="H752" s="791">
        <f t="shared" si="45"/>
        <v>4096710.336763002</v>
      </c>
      <c r="I752" s="788">
        <f t="shared" si="46"/>
        <v>0</v>
      </c>
      <c r="J752" s="788"/>
      <c r="K752" s="808"/>
      <c r="L752" s="792"/>
      <c r="M752" s="808"/>
      <c r="N752" s="792"/>
      <c r="O752" s="792"/>
    </row>
    <row r="753" spans="3:15">
      <c r="C753" s="784">
        <f>IF(D720="","-",+C752+1)</f>
        <v>2043</v>
      </c>
      <c r="D753" s="732">
        <f t="shared" si="42"/>
        <v>20793233.666666687</v>
      </c>
      <c r="E753" s="785">
        <f t="shared" si="47"/>
        <v>1599479.5128205128</v>
      </c>
      <c r="F753" s="732">
        <f t="shared" si="43"/>
        <v>19193754.153846174</v>
      </c>
      <c r="G753" s="790">
        <f t="shared" si="44"/>
        <v>3911730.2757302253</v>
      </c>
      <c r="H753" s="791">
        <f t="shared" si="45"/>
        <v>3911730.2757302253</v>
      </c>
      <c r="I753" s="788">
        <f t="shared" si="46"/>
        <v>0</v>
      </c>
      <c r="J753" s="788"/>
      <c r="K753" s="808"/>
      <c r="L753" s="792"/>
      <c r="M753" s="808"/>
      <c r="N753" s="792"/>
      <c r="O753" s="792"/>
    </row>
    <row r="754" spans="3:15">
      <c r="C754" s="784">
        <f>IF(D720="","-",+C753+1)</f>
        <v>2044</v>
      </c>
      <c r="D754" s="732">
        <f t="shared" si="42"/>
        <v>19193754.153846174</v>
      </c>
      <c r="E754" s="785">
        <f t="shared" si="47"/>
        <v>1599479.5128205128</v>
      </c>
      <c r="F754" s="732">
        <f t="shared" si="43"/>
        <v>17594274.641025662</v>
      </c>
      <c r="G754" s="786">
        <f t="shared" si="44"/>
        <v>3726750.2146974485</v>
      </c>
      <c r="H754" s="791">
        <f t="shared" si="45"/>
        <v>3726750.2146974485</v>
      </c>
      <c r="I754" s="788">
        <f t="shared" si="46"/>
        <v>0</v>
      </c>
      <c r="J754" s="788"/>
      <c r="K754" s="808"/>
      <c r="L754" s="792"/>
      <c r="M754" s="808"/>
      <c r="N754" s="792"/>
      <c r="O754" s="792"/>
    </row>
    <row r="755" spans="3:15">
      <c r="C755" s="784">
        <f>IF(D720="","-",+C754+1)</f>
        <v>2045</v>
      </c>
      <c r="D755" s="732">
        <f t="shared" si="42"/>
        <v>17594274.641025662</v>
      </c>
      <c r="E755" s="785">
        <f t="shared" si="47"/>
        <v>1599479.5128205128</v>
      </c>
      <c r="F755" s="732">
        <f t="shared" si="43"/>
        <v>15994795.12820515</v>
      </c>
      <c r="G755" s="790">
        <f t="shared" si="44"/>
        <v>3541770.1536646718</v>
      </c>
      <c r="H755" s="791">
        <f t="shared" si="45"/>
        <v>3541770.1536646718</v>
      </c>
      <c r="I755" s="788">
        <f t="shared" si="46"/>
        <v>0</v>
      </c>
      <c r="J755" s="788"/>
      <c r="K755" s="808"/>
      <c r="L755" s="792"/>
      <c r="M755" s="808"/>
      <c r="N755" s="792"/>
      <c r="O755" s="792"/>
    </row>
    <row r="756" spans="3:15">
      <c r="C756" s="784">
        <f>IF(D720="","-",+C755+1)</f>
        <v>2046</v>
      </c>
      <c r="D756" s="732">
        <f t="shared" si="42"/>
        <v>15994795.12820515</v>
      </c>
      <c r="E756" s="785">
        <f t="shared" si="47"/>
        <v>1599479.5128205128</v>
      </c>
      <c r="F756" s="732">
        <f t="shared" si="43"/>
        <v>14395315.615384638</v>
      </c>
      <c r="G756" s="790">
        <f t="shared" si="44"/>
        <v>3356790.0926318951</v>
      </c>
      <c r="H756" s="791">
        <f t="shared" si="45"/>
        <v>3356790.0926318951</v>
      </c>
      <c r="I756" s="788">
        <f t="shared" si="46"/>
        <v>0</v>
      </c>
      <c r="J756" s="788"/>
      <c r="K756" s="808"/>
      <c r="L756" s="792"/>
      <c r="M756" s="808"/>
      <c r="N756" s="792"/>
      <c r="O756" s="792"/>
    </row>
    <row r="757" spans="3:15">
      <c r="C757" s="784">
        <f>IF(D720="","-",+C756+1)</f>
        <v>2047</v>
      </c>
      <c r="D757" s="732">
        <f t="shared" si="42"/>
        <v>14395315.615384638</v>
      </c>
      <c r="E757" s="785">
        <f t="shared" si="47"/>
        <v>1599479.5128205128</v>
      </c>
      <c r="F757" s="732">
        <f t="shared" si="43"/>
        <v>12795836.102564126</v>
      </c>
      <c r="G757" s="790">
        <f t="shared" si="44"/>
        <v>3171810.0315991184</v>
      </c>
      <c r="H757" s="791">
        <f t="shared" si="45"/>
        <v>3171810.0315991184</v>
      </c>
      <c r="I757" s="788">
        <f t="shared" si="46"/>
        <v>0</v>
      </c>
      <c r="J757" s="788"/>
      <c r="K757" s="808"/>
      <c r="L757" s="792"/>
      <c r="M757" s="808"/>
      <c r="N757" s="792"/>
      <c r="O757" s="792"/>
    </row>
    <row r="758" spans="3:15">
      <c r="C758" s="784">
        <f>IF(D720="","-",+C757+1)</f>
        <v>2048</v>
      </c>
      <c r="D758" s="732">
        <f t="shared" si="42"/>
        <v>12795836.102564126</v>
      </c>
      <c r="E758" s="785">
        <f t="shared" si="47"/>
        <v>1599479.5128205128</v>
      </c>
      <c r="F758" s="732">
        <f t="shared" si="43"/>
        <v>11196356.589743614</v>
      </c>
      <c r="G758" s="790">
        <f t="shared" si="44"/>
        <v>2986829.9705663417</v>
      </c>
      <c r="H758" s="791">
        <f t="shared" si="45"/>
        <v>2986829.9705663417</v>
      </c>
      <c r="I758" s="788">
        <f t="shared" si="46"/>
        <v>0</v>
      </c>
      <c r="J758" s="788"/>
      <c r="K758" s="808"/>
      <c r="L758" s="792"/>
      <c r="M758" s="808"/>
      <c r="N758" s="792"/>
      <c r="O758" s="792"/>
    </row>
    <row r="759" spans="3:15">
      <c r="C759" s="784">
        <f>IF(D720="","-",+C758+1)</f>
        <v>2049</v>
      </c>
      <c r="D759" s="732">
        <f t="shared" si="42"/>
        <v>11196356.589743614</v>
      </c>
      <c r="E759" s="785">
        <f t="shared" si="47"/>
        <v>1599479.5128205128</v>
      </c>
      <c r="F759" s="732">
        <f t="shared" si="43"/>
        <v>9596877.0769231021</v>
      </c>
      <c r="G759" s="790">
        <f t="shared" si="44"/>
        <v>2801849.9095335649</v>
      </c>
      <c r="H759" s="791">
        <f t="shared" si="45"/>
        <v>2801849.9095335649</v>
      </c>
      <c r="I759" s="788">
        <f t="shared" si="46"/>
        <v>0</v>
      </c>
      <c r="J759" s="788"/>
      <c r="K759" s="808"/>
      <c r="L759" s="792"/>
      <c r="M759" s="808"/>
      <c r="N759" s="792"/>
      <c r="O759" s="792"/>
    </row>
    <row r="760" spans="3:15">
      <c r="C760" s="784">
        <f>IF(D720="","-",+C759+1)</f>
        <v>2050</v>
      </c>
      <c r="D760" s="732">
        <f t="shared" si="42"/>
        <v>9596877.0769231021</v>
      </c>
      <c r="E760" s="785">
        <f t="shared" si="47"/>
        <v>1599479.5128205128</v>
      </c>
      <c r="F760" s="732">
        <f t="shared" si="43"/>
        <v>7997397.5641025892</v>
      </c>
      <c r="G760" s="790">
        <f t="shared" si="44"/>
        <v>2616869.8485007882</v>
      </c>
      <c r="H760" s="791">
        <f t="shared" si="45"/>
        <v>2616869.8485007882</v>
      </c>
      <c r="I760" s="788">
        <f t="shared" si="46"/>
        <v>0</v>
      </c>
      <c r="J760" s="788"/>
      <c r="K760" s="808"/>
      <c r="L760" s="792"/>
      <c r="M760" s="808"/>
      <c r="N760" s="792"/>
      <c r="O760" s="792"/>
    </row>
    <row r="761" spans="3:15">
      <c r="C761" s="784">
        <f>IF(D720="","-",+C760+1)</f>
        <v>2051</v>
      </c>
      <c r="D761" s="732">
        <f t="shared" si="42"/>
        <v>7997397.5641025892</v>
      </c>
      <c r="E761" s="785">
        <f t="shared" si="47"/>
        <v>1599479.5128205128</v>
      </c>
      <c r="F761" s="732">
        <f t="shared" si="43"/>
        <v>6397918.0512820762</v>
      </c>
      <c r="G761" s="790">
        <f t="shared" si="44"/>
        <v>2431889.7874680115</v>
      </c>
      <c r="H761" s="791">
        <f t="shared" si="45"/>
        <v>2431889.7874680115</v>
      </c>
      <c r="I761" s="788">
        <f t="shared" si="46"/>
        <v>0</v>
      </c>
      <c r="J761" s="788"/>
      <c r="K761" s="808"/>
      <c r="L761" s="792"/>
      <c r="M761" s="808"/>
      <c r="N761" s="792"/>
      <c r="O761" s="792"/>
    </row>
    <row r="762" spans="3:15">
      <c r="C762" s="784">
        <f>IF(D720="","-",+C761+1)</f>
        <v>2052</v>
      </c>
      <c r="D762" s="732">
        <f t="shared" si="42"/>
        <v>6397918.0512820762</v>
      </c>
      <c r="E762" s="785">
        <f t="shared" si="47"/>
        <v>1599479.5128205128</v>
      </c>
      <c r="F762" s="732">
        <f t="shared" si="43"/>
        <v>4798438.5384615632</v>
      </c>
      <c r="G762" s="790">
        <f t="shared" si="44"/>
        <v>2246909.7264352348</v>
      </c>
      <c r="H762" s="791">
        <f t="shared" si="45"/>
        <v>2246909.7264352348</v>
      </c>
      <c r="I762" s="788">
        <f t="shared" si="46"/>
        <v>0</v>
      </c>
      <c r="J762" s="788"/>
      <c r="K762" s="808"/>
      <c r="L762" s="792"/>
      <c r="M762" s="808"/>
      <c r="N762" s="792"/>
      <c r="O762" s="792"/>
    </row>
    <row r="763" spans="3:15">
      <c r="C763" s="784">
        <f>IF(D720="","-",+C762+1)</f>
        <v>2053</v>
      </c>
      <c r="D763" s="732">
        <f t="shared" si="42"/>
        <v>4798438.5384615632</v>
      </c>
      <c r="E763" s="785">
        <f t="shared" si="47"/>
        <v>1599479.5128205128</v>
      </c>
      <c r="F763" s="732">
        <f t="shared" si="43"/>
        <v>3198959.0256410502</v>
      </c>
      <c r="G763" s="790">
        <f t="shared" si="44"/>
        <v>2061929.6654024576</v>
      </c>
      <c r="H763" s="791">
        <f t="shared" si="45"/>
        <v>2061929.6654024576</v>
      </c>
      <c r="I763" s="788">
        <f t="shared" si="46"/>
        <v>0</v>
      </c>
      <c r="J763" s="788"/>
      <c r="K763" s="808"/>
      <c r="L763" s="792"/>
      <c r="M763" s="808"/>
      <c r="N763" s="792"/>
      <c r="O763" s="792"/>
    </row>
    <row r="764" spans="3:15">
      <c r="C764" s="784">
        <f>IF(D720="","-",+C763+1)</f>
        <v>2054</v>
      </c>
      <c r="D764" s="732">
        <f t="shared" si="42"/>
        <v>3198959.0256410502</v>
      </c>
      <c r="E764" s="785">
        <f t="shared" si="47"/>
        <v>1599479.5128205128</v>
      </c>
      <c r="F764" s="732">
        <f t="shared" si="43"/>
        <v>1599479.5128205374</v>
      </c>
      <c r="G764" s="790">
        <f t="shared" si="44"/>
        <v>1876949.6043696809</v>
      </c>
      <c r="H764" s="791">
        <f t="shared" si="45"/>
        <v>1876949.6043696809</v>
      </c>
      <c r="I764" s="788">
        <f t="shared" si="46"/>
        <v>0</v>
      </c>
      <c r="J764" s="788"/>
      <c r="K764" s="808"/>
      <c r="L764" s="792"/>
      <c r="M764" s="808"/>
      <c r="N764" s="792"/>
      <c r="O764" s="792"/>
    </row>
    <row r="765" spans="3:15">
      <c r="C765" s="784">
        <f>IF(D720="","-",+C764+1)</f>
        <v>2055</v>
      </c>
      <c r="D765" s="732">
        <f t="shared" si="42"/>
        <v>1599479.5128205374</v>
      </c>
      <c r="E765" s="785">
        <f t="shared" si="47"/>
        <v>1599479.5128205128</v>
      </c>
      <c r="F765" s="732">
        <f t="shared" si="43"/>
        <v>2.4680048227310181E-8</v>
      </c>
      <c r="G765" s="790">
        <f t="shared" si="44"/>
        <v>1691969.5433369041</v>
      </c>
      <c r="H765" s="791">
        <f t="shared" si="45"/>
        <v>1691969.5433369041</v>
      </c>
      <c r="I765" s="788">
        <f t="shared" si="46"/>
        <v>0</v>
      </c>
      <c r="J765" s="788"/>
      <c r="K765" s="808"/>
      <c r="L765" s="792"/>
      <c r="M765" s="808"/>
      <c r="N765" s="792"/>
      <c r="O765" s="792"/>
    </row>
    <row r="766" spans="3:15">
      <c r="C766" s="784">
        <f>IF(D720="","-",+C765+1)</f>
        <v>2056</v>
      </c>
      <c r="D766" s="732">
        <f t="shared" si="42"/>
        <v>2.4680048227310181E-8</v>
      </c>
      <c r="E766" s="785">
        <f t="shared" si="47"/>
        <v>2.4680048227310181E-8</v>
      </c>
      <c r="F766" s="732">
        <f t="shared" si="43"/>
        <v>0</v>
      </c>
      <c r="G766" s="790">
        <f t="shared" si="44"/>
        <v>2.6107173986279502E-8</v>
      </c>
      <c r="H766" s="791">
        <f t="shared" si="45"/>
        <v>2.6107173986279502E-8</v>
      </c>
      <c r="I766" s="788">
        <f t="shared" si="46"/>
        <v>0</v>
      </c>
      <c r="J766" s="788"/>
      <c r="K766" s="808"/>
      <c r="L766" s="792"/>
      <c r="M766" s="808"/>
      <c r="N766" s="792"/>
      <c r="O766" s="792"/>
    </row>
    <row r="767" spans="3:15">
      <c r="C767" s="784">
        <f>IF(D720="","-",+C766+1)</f>
        <v>2057</v>
      </c>
      <c r="D767" s="732">
        <f t="shared" si="42"/>
        <v>0</v>
      </c>
      <c r="E767" s="785">
        <f t="shared" si="47"/>
        <v>0</v>
      </c>
      <c r="F767" s="732">
        <f t="shared" si="43"/>
        <v>0</v>
      </c>
      <c r="G767" s="790">
        <f t="shared" si="44"/>
        <v>0</v>
      </c>
      <c r="H767" s="791">
        <f t="shared" si="45"/>
        <v>0</v>
      </c>
      <c r="I767" s="788">
        <f t="shared" si="46"/>
        <v>0</v>
      </c>
      <c r="J767" s="788"/>
      <c r="K767" s="808"/>
      <c r="L767" s="792"/>
      <c r="M767" s="808"/>
      <c r="N767" s="792"/>
      <c r="O767" s="792"/>
    </row>
    <row r="768" spans="3:15">
      <c r="C768" s="784">
        <f>IF(D720="","-",+C767+1)</f>
        <v>2058</v>
      </c>
      <c r="D768" s="732">
        <f t="shared" si="42"/>
        <v>0</v>
      </c>
      <c r="E768" s="785">
        <f t="shared" si="47"/>
        <v>0</v>
      </c>
      <c r="F768" s="732">
        <f t="shared" si="43"/>
        <v>0</v>
      </c>
      <c r="G768" s="790">
        <f t="shared" si="44"/>
        <v>0</v>
      </c>
      <c r="H768" s="791">
        <f t="shared" si="45"/>
        <v>0</v>
      </c>
      <c r="I768" s="788">
        <f t="shared" si="46"/>
        <v>0</v>
      </c>
      <c r="J768" s="788"/>
      <c r="K768" s="808"/>
      <c r="L768" s="792"/>
      <c r="M768" s="808"/>
      <c r="N768" s="792"/>
      <c r="O768" s="792"/>
    </row>
    <row r="769" spans="3:15">
      <c r="C769" s="784">
        <f>IF(D720="","-",+C768+1)</f>
        <v>2059</v>
      </c>
      <c r="D769" s="732">
        <f t="shared" si="42"/>
        <v>0</v>
      </c>
      <c r="E769" s="785">
        <f t="shared" si="47"/>
        <v>0</v>
      </c>
      <c r="F769" s="732">
        <f t="shared" si="43"/>
        <v>0</v>
      </c>
      <c r="G769" s="790">
        <f t="shared" si="44"/>
        <v>0</v>
      </c>
      <c r="H769" s="791">
        <f t="shared" si="45"/>
        <v>0</v>
      </c>
      <c r="I769" s="788">
        <f t="shared" si="46"/>
        <v>0</v>
      </c>
      <c r="J769" s="788"/>
      <c r="K769" s="808"/>
      <c r="L769" s="792"/>
      <c r="M769" s="808"/>
      <c r="N769" s="792"/>
      <c r="O769" s="792"/>
    </row>
    <row r="770" spans="3:15">
      <c r="C770" s="784">
        <f>IF(D720="","-",+C769+1)</f>
        <v>2060</v>
      </c>
      <c r="D770" s="732">
        <f t="shared" si="42"/>
        <v>0</v>
      </c>
      <c r="E770" s="785">
        <f t="shared" si="47"/>
        <v>0</v>
      </c>
      <c r="F770" s="732">
        <f t="shared" si="43"/>
        <v>0</v>
      </c>
      <c r="G770" s="790">
        <f t="shared" si="44"/>
        <v>0</v>
      </c>
      <c r="H770" s="791">
        <f t="shared" si="45"/>
        <v>0</v>
      </c>
      <c r="I770" s="788">
        <f t="shared" si="46"/>
        <v>0</v>
      </c>
      <c r="J770" s="788"/>
      <c r="K770" s="808"/>
      <c r="L770" s="792"/>
      <c r="M770" s="808"/>
      <c r="N770" s="792"/>
      <c r="O770" s="792"/>
    </row>
    <row r="771" spans="3:15">
      <c r="C771" s="784">
        <f>IF(D720="","-",+C770+1)</f>
        <v>2061</v>
      </c>
      <c r="D771" s="732">
        <f t="shared" si="42"/>
        <v>0</v>
      </c>
      <c r="E771" s="785">
        <f t="shared" si="47"/>
        <v>0</v>
      </c>
      <c r="F771" s="732">
        <f t="shared" si="43"/>
        <v>0</v>
      </c>
      <c r="G771" s="790">
        <f t="shared" si="44"/>
        <v>0</v>
      </c>
      <c r="H771" s="791">
        <f t="shared" si="45"/>
        <v>0</v>
      </c>
      <c r="I771" s="788">
        <f t="shared" si="46"/>
        <v>0</v>
      </c>
      <c r="J771" s="788"/>
      <c r="K771" s="808"/>
      <c r="L771" s="792"/>
      <c r="M771" s="808"/>
      <c r="N771" s="792"/>
      <c r="O771" s="792"/>
    </row>
    <row r="772" spans="3:15">
      <c r="C772" s="784">
        <f>IF(D720="","-",+C771+1)</f>
        <v>2062</v>
      </c>
      <c r="D772" s="732">
        <f t="shared" si="42"/>
        <v>0</v>
      </c>
      <c r="E772" s="785">
        <f t="shared" si="47"/>
        <v>0</v>
      </c>
      <c r="F772" s="732">
        <f t="shared" si="43"/>
        <v>0</v>
      </c>
      <c r="G772" s="790">
        <f t="shared" si="44"/>
        <v>0</v>
      </c>
      <c r="H772" s="791">
        <f t="shared" si="45"/>
        <v>0</v>
      </c>
      <c r="I772" s="788">
        <f t="shared" si="46"/>
        <v>0</v>
      </c>
      <c r="J772" s="788"/>
      <c r="K772" s="808"/>
      <c r="L772" s="792"/>
      <c r="M772" s="808"/>
      <c r="N772" s="792"/>
      <c r="O772" s="792"/>
    </row>
    <row r="773" spans="3:15">
      <c r="C773" s="784">
        <f>IF(D720="","-",+C772+1)</f>
        <v>2063</v>
      </c>
      <c r="D773" s="732">
        <f t="shared" si="42"/>
        <v>0</v>
      </c>
      <c r="E773" s="785">
        <f t="shared" si="47"/>
        <v>0</v>
      </c>
      <c r="F773" s="732">
        <f t="shared" si="43"/>
        <v>0</v>
      </c>
      <c r="G773" s="790">
        <f t="shared" si="44"/>
        <v>0</v>
      </c>
      <c r="H773" s="791">
        <f t="shared" si="45"/>
        <v>0</v>
      </c>
      <c r="I773" s="788">
        <f t="shared" si="46"/>
        <v>0</v>
      </c>
      <c r="J773" s="788"/>
      <c r="K773" s="808"/>
      <c r="L773" s="792"/>
      <c r="M773" s="808"/>
      <c r="N773" s="792"/>
      <c r="O773" s="792"/>
    </row>
    <row r="774" spans="3:15">
      <c r="C774" s="784">
        <f>IF(D720="","-",+C773+1)</f>
        <v>2064</v>
      </c>
      <c r="D774" s="732">
        <f t="shared" si="42"/>
        <v>0</v>
      </c>
      <c r="E774" s="785">
        <f t="shared" si="47"/>
        <v>0</v>
      </c>
      <c r="F774" s="732">
        <f t="shared" si="43"/>
        <v>0</v>
      </c>
      <c r="G774" s="790">
        <f t="shared" si="44"/>
        <v>0</v>
      </c>
      <c r="H774" s="791">
        <f t="shared" si="45"/>
        <v>0</v>
      </c>
      <c r="I774" s="788">
        <f t="shared" si="46"/>
        <v>0</v>
      </c>
      <c r="J774" s="788"/>
      <c r="K774" s="808"/>
      <c r="L774" s="792"/>
      <c r="M774" s="808"/>
      <c r="N774" s="792"/>
      <c r="O774" s="792"/>
    </row>
    <row r="775" spans="3:15">
      <c r="C775" s="784">
        <f>IF(D720="","-",+C774+1)</f>
        <v>2065</v>
      </c>
      <c r="D775" s="732">
        <f t="shared" si="42"/>
        <v>0</v>
      </c>
      <c r="E775" s="785">
        <f t="shared" si="47"/>
        <v>0</v>
      </c>
      <c r="F775" s="732">
        <f t="shared" si="43"/>
        <v>0</v>
      </c>
      <c r="G775" s="790">
        <f t="shared" si="44"/>
        <v>0</v>
      </c>
      <c r="H775" s="791">
        <f t="shared" si="45"/>
        <v>0</v>
      </c>
      <c r="I775" s="788">
        <f t="shared" si="46"/>
        <v>0</v>
      </c>
      <c r="J775" s="788"/>
      <c r="K775" s="808"/>
      <c r="L775" s="792"/>
      <c r="M775" s="808"/>
      <c r="N775" s="792"/>
      <c r="O775" s="792"/>
    </row>
    <row r="776" spans="3:15">
      <c r="C776" s="784">
        <f>IF(D720="","-",+C775+1)</f>
        <v>2066</v>
      </c>
      <c r="D776" s="732">
        <f t="shared" si="42"/>
        <v>0</v>
      </c>
      <c r="E776" s="785">
        <f t="shared" si="47"/>
        <v>0</v>
      </c>
      <c r="F776" s="732">
        <f t="shared" si="43"/>
        <v>0</v>
      </c>
      <c r="G776" s="790">
        <f t="shared" si="44"/>
        <v>0</v>
      </c>
      <c r="H776" s="791">
        <f t="shared" si="45"/>
        <v>0</v>
      </c>
      <c r="I776" s="788">
        <f t="shared" si="46"/>
        <v>0</v>
      </c>
      <c r="J776" s="788"/>
      <c r="K776" s="808"/>
      <c r="L776" s="792"/>
      <c r="M776" s="808"/>
      <c r="N776" s="792"/>
      <c r="O776" s="792"/>
    </row>
    <row r="777" spans="3:15">
      <c r="C777" s="784">
        <f>IF(D720="","-",+C776+1)</f>
        <v>2067</v>
      </c>
      <c r="D777" s="732">
        <f t="shared" si="42"/>
        <v>0</v>
      </c>
      <c r="E777" s="785">
        <f t="shared" si="47"/>
        <v>0</v>
      </c>
      <c r="F777" s="732">
        <f t="shared" si="43"/>
        <v>0</v>
      </c>
      <c r="G777" s="790">
        <f t="shared" si="44"/>
        <v>0</v>
      </c>
      <c r="H777" s="791">
        <f t="shared" si="45"/>
        <v>0</v>
      </c>
      <c r="I777" s="788">
        <f t="shared" si="46"/>
        <v>0</v>
      </c>
      <c r="J777" s="788"/>
      <c r="K777" s="808"/>
      <c r="L777" s="792"/>
      <c r="M777" s="808"/>
      <c r="N777" s="792"/>
      <c r="O777" s="792"/>
    </row>
    <row r="778" spans="3:15">
      <c r="C778" s="784">
        <f>IF(D720="","-",+C777+1)</f>
        <v>2068</v>
      </c>
      <c r="D778" s="732">
        <f t="shared" si="42"/>
        <v>0</v>
      </c>
      <c r="E778" s="785">
        <f t="shared" si="47"/>
        <v>0</v>
      </c>
      <c r="F778" s="732">
        <f t="shared" si="43"/>
        <v>0</v>
      </c>
      <c r="G778" s="790">
        <f t="shared" si="44"/>
        <v>0</v>
      </c>
      <c r="H778" s="791">
        <f t="shared" si="45"/>
        <v>0</v>
      </c>
      <c r="I778" s="788">
        <f t="shared" si="46"/>
        <v>0</v>
      </c>
      <c r="J778" s="788"/>
      <c r="K778" s="808"/>
      <c r="L778" s="792"/>
      <c r="M778" s="808"/>
      <c r="N778" s="792"/>
      <c r="O778" s="792"/>
    </row>
    <row r="779" spans="3:15">
      <c r="C779" s="784">
        <f>IF(D720="","-",+C778+1)</f>
        <v>2069</v>
      </c>
      <c r="D779" s="732">
        <f t="shared" si="42"/>
        <v>0</v>
      </c>
      <c r="E779" s="785">
        <f t="shared" si="47"/>
        <v>0</v>
      </c>
      <c r="F779" s="732">
        <f t="shared" si="43"/>
        <v>0</v>
      </c>
      <c r="G779" s="790">
        <f t="shared" si="44"/>
        <v>0</v>
      </c>
      <c r="H779" s="791">
        <f t="shared" si="45"/>
        <v>0</v>
      </c>
      <c r="I779" s="788">
        <f t="shared" si="46"/>
        <v>0</v>
      </c>
      <c r="J779" s="788"/>
      <c r="K779" s="808"/>
      <c r="L779" s="792"/>
      <c r="M779" s="808"/>
      <c r="N779" s="792"/>
      <c r="O779" s="792"/>
    </row>
    <row r="780" spans="3:15">
      <c r="C780" s="784">
        <f>IF(D720="","-",+C779+1)</f>
        <v>2070</v>
      </c>
      <c r="D780" s="732">
        <f t="shared" si="42"/>
        <v>0</v>
      </c>
      <c r="E780" s="785">
        <f t="shared" si="47"/>
        <v>0</v>
      </c>
      <c r="F780" s="732">
        <f t="shared" si="43"/>
        <v>0</v>
      </c>
      <c r="G780" s="790">
        <f t="shared" si="44"/>
        <v>0</v>
      </c>
      <c r="H780" s="791">
        <f t="shared" si="45"/>
        <v>0</v>
      </c>
      <c r="I780" s="788">
        <f t="shared" si="46"/>
        <v>0</v>
      </c>
      <c r="J780" s="788"/>
      <c r="K780" s="808"/>
      <c r="L780" s="792"/>
      <c r="M780" s="808"/>
      <c r="N780" s="792"/>
      <c r="O780" s="792"/>
    </row>
    <row r="781" spans="3:15">
      <c r="C781" s="784">
        <f>IF(D720="","-",+C780+1)</f>
        <v>2071</v>
      </c>
      <c r="D781" s="732">
        <f t="shared" si="42"/>
        <v>0</v>
      </c>
      <c r="E781" s="785">
        <f t="shared" si="47"/>
        <v>0</v>
      </c>
      <c r="F781" s="732">
        <f t="shared" si="43"/>
        <v>0</v>
      </c>
      <c r="G781" s="790">
        <f t="shared" si="44"/>
        <v>0</v>
      </c>
      <c r="H781" s="791">
        <f t="shared" si="45"/>
        <v>0</v>
      </c>
      <c r="I781" s="788">
        <f t="shared" si="46"/>
        <v>0</v>
      </c>
      <c r="J781" s="788"/>
      <c r="K781" s="808"/>
      <c r="L781" s="792"/>
      <c r="M781" s="808"/>
      <c r="N781" s="792"/>
      <c r="O781" s="792"/>
    </row>
    <row r="782" spans="3:15">
      <c r="C782" s="784">
        <f>IF(D720="","-",+C781+1)</f>
        <v>2072</v>
      </c>
      <c r="D782" s="732">
        <f t="shared" si="42"/>
        <v>0</v>
      </c>
      <c r="E782" s="785">
        <f t="shared" si="47"/>
        <v>0</v>
      </c>
      <c r="F782" s="732">
        <f t="shared" si="43"/>
        <v>0</v>
      </c>
      <c r="G782" s="790">
        <f t="shared" si="44"/>
        <v>0</v>
      </c>
      <c r="H782" s="791">
        <f t="shared" si="45"/>
        <v>0</v>
      </c>
      <c r="I782" s="788">
        <f t="shared" si="46"/>
        <v>0</v>
      </c>
      <c r="J782" s="788"/>
      <c r="K782" s="808"/>
      <c r="L782" s="792"/>
      <c r="M782" s="808"/>
      <c r="N782" s="792"/>
      <c r="O782" s="792"/>
    </row>
    <row r="783" spans="3:15">
      <c r="C783" s="784">
        <f>IF(D720="","-",+C782+1)</f>
        <v>2073</v>
      </c>
      <c r="D783" s="732">
        <f t="shared" si="42"/>
        <v>0</v>
      </c>
      <c r="E783" s="785">
        <f t="shared" si="47"/>
        <v>0</v>
      </c>
      <c r="F783" s="732">
        <f t="shared" si="43"/>
        <v>0</v>
      </c>
      <c r="G783" s="790">
        <f t="shared" si="44"/>
        <v>0</v>
      </c>
      <c r="H783" s="791">
        <f t="shared" si="45"/>
        <v>0</v>
      </c>
      <c r="I783" s="788">
        <f t="shared" si="46"/>
        <v>0</v>
      </c>
      <c r="J783" s="788"/>
      <c r="K783" s="808"/>
      <c r="L783" s="792"/>
      <c r="M783" s="808"/>
      <c r="N783" s="792"/>
      <c r="O783" s="792"/>
    </row>
    <row r="784" spans="3:15">
      <c r="C784" s="784">
        <f>IF(D720="","-",+C783+1)</f>
        <v>2074</v>
      </c>
      <c r="D784" s="732">
        <f t="shared" si="42"/>
        <v>0</v>
      </c>
      <c r="E784" s="785">
        <f t="shared" si="47"/>
        <v>0</v>
      </c>
      <c r="F784" s="732">
        <f t="shared" si="43"/>
        <v>0</v>
      </c>
      <c r="G784" s="790">
        <f t="shared" si="44"/>
        <v>0</v>
      </c>
      <c r="H784" s="791">
        <f t="shared" si="45"/>
        <v>0</v>
      </c>
      <c r="I784" s="788">
        <f t="shared" si="46"/>
        <v>0</v>
      </c>
      <c r="J784" s="788"/>
      <c r="K784" s="808"/>
      <c r="L784" s="792"/>
      <c r="M784" s="808"/>
      <c r="N784" s="792"/>
      <c r="O784" s="792"/>
    </row>
    <row r="785" spans="1:16" ht="13.5" thickBot="1">
      <c r="C785" s="794">
        <f>IF(D720="","-",+C784+1)</f>
        <v>2075</v>
      </c>
      <c r="D785" s="795">
        <f t="shared" si="42"/>
        <v>0</v>
      </c>
      <c r="E785" s="796">
        <f t="shared" si="47"/>
        <v>0</v>
      </c>
      <c r="F785" s="795">
        <f t="shared" si="43"/>
        <v>0</v>
      </c>
      <c r="G785" s="797">
        <f t="shared" si="44"/>
        <v>0</v>
      </c>
      <c r="H785" s="797">
        <f t="shared" si="45"/>
        <v>0</v>
      </c>
      <c r="I785" s="798">
        <f t="shared" si="46"/>
        <v>0</v>
      </c>
      <c r="J785" s="788"/>
      <c r="K785" s="809"/>
      <c r="L785" s="799"/>
      <c r="M785" s="809"/>
      <c r="N785" s="799"/>
      <c r="O785" s="799"/>
    </row>
    <row r="786" spans="1:16">
      <c r="C786" s="732" t="s">
        <v>93</v>
      </c>
      <c r="D786" s="726"/>
      <c r="E786" s="726">
        <f>SUM(E726:E785)</f>
        <v>62379701</v>
      </c>
      <c r="F786" s="726"/>
      <c r="G786" s="726">
        <f>SUM(G726:G785)</f>
        <v>210271259.79570517</v>
      </c>
      <c r="H786" s="726">
        <f>SUM(H726:H785)</f>
        <v>210271259.79570517</v>
      </c>
      <c r="I786" s="726">
        <f>SUM(I726:I785)</f>
        <v>0</v>
      </c>
      <c r="J786" s="726"/>
      <c r="K786" s="726"/>
      <c r="L786" s="726"/>
      <c r="M786" s="726"/>
      <c r="N786" s="726"/>
      <c r="O786" s="313"/>
    </row>
    <row r="787" spans="1:16">
      <c r="D787" s="534"/>
      <c r="E787" s="313"/>
      <c r="F787" s="313"/>
      <c r="G787" s="313"/>
      <c r="H787" s="704"/>
      <c r="I787" s="704"/>
      <c r="J787" s="726"/>
      <c r="K787" s="704"/>
      <c r="L787" s="704"/>
      <c r="M787" s="704"/>
      <c r="N787" s="704"/>
      <c r="O787" s="313"/>
    </row>
    <row r="788" spans="1:16">
      <c r="C788" s="313" t="s">
        <v>15</v>
      </c>
      <c r="D788" s="534"/>
      <c r="E788" s="313"/>
      <c r="F788" s="313"/>
      <c r="G788" s="313"/>
      <c r="H788" s="704"/>
      <c r="I788" s="704"/>
      <c r="J788" s="726"/>
      <c r="K788" s="704"/>
      <c r="L788" s="704"/>
      <c r="M788" s="704"/>
      <c r="N788" s="704"/>
      <c r="O788" s="313"/>
    </row>
    <row r="789" spans="1:16">
      <c r="C789" s="313"/>
      <c r="D789" s="534"/>
      <c r="E789" s="313"/>
      <c r="F789" s="313"/>
      <c r="G789" s="313"/>
      <c r="H789" s="704"/>
      <c r="I789" s="704"/>
      <c r="J789" s="726"/>
      <c r="K789" s="704"/>
      <c r="L789" s="704"/>
      <c r="M789" s="704"/>
      <c r="N789" s="704"/>
      <c r="O789" s="313"/>
    </row>
    <row r="790" spans="1:16">
      <c r="C790" s="745" t="s">
        <v>16</v>
      </c>
      <c r="D790" s="732"/>
      <c r="E790" s="732"/>
      <c r="F790" s="732"/>
      <c r="G790" s="726"/>
      <c r="H790" s="726"/>
      <c r="I790" s="800"/>
      <c r="J790" s="800"/>
      <c r="K790" s="800"/>
      <c r="L790" s="800"/>
      <c r="M790" s="800"/>
      <c r="N790" s="800"/>
      <c r="O790" s="313"/>
    </row>
    <row r="791" spans="1:16">
      <c r="C791" s="731" t="s">
        <v>273</v>
      </c>
      <c r="D791" s="732"/>
      <c r="E791" s="732"/>
      <c r="F791" s="732"/>
      <c r="G791" s="726"/>
      <c r="H791" s="726"/>
      <c r="I791" s="800"/>
      <c r="J791" s="800"/>
      <c r="K791" s="800"/>
      <c r="L791" s="800"/>
      <c r="M791" s="800"/>
      <c r="N791" s="800"/>
      <c r="O791" s="313"/>
    </row>
    <row r="792" spans="1:16">
      <c r="C792" s="731" t="s">
        <v>94</v>
      </c>
      <c r="D792" s="732"/>
      <c r="E792" s="732"/>
      <c r="F792" s="732"/>
      <c r="G792" s="726"/>
      <c r="H792" s="726"/>
      <c r="I792" s="800"/>
      <c r="J792" s="800"/>
      <c r="K792" s="800"/>
      <c r="L792" s="800"/>
      <c r="M792" s="800"/>
      <c r="N792" s="800"/>
      <c r="O792" s="313"/>
    </row>
    <row r="793" spans="1:16">
      <c r="C793" s="731"/>
      <c r="D793" s="732"/>
      <c r="E793" s="732"/>
      <c r="F793" s="732"/>
      <c r="G793" s="726"/>
      <c r="H793" s="726"/>
      <c r="I793" s="800"/>
      <c r="J793" s="800"/>
      <c r="K793" s="800"/>
      <c r="L793" s="800"/>
      <c r="M793" s="800"/>
      <c r="N793" s="800"/>
      <c r="O793" s="313"/>
    </row>
    <row r="794" spans="1:16">
      <c r="C794" s="1556" t="s">
        <v>8</v>
      </c>
      <c r="D794" s="1556"/>
      <c r="E794" s="1556"/>
      <c r="F794" s="1556"/>
      <c r="G794" s="1556"/>
      <c r="H794" s="1556"/>
      <c r="I794" s="1556"/>
      <c r="J794" s="1556"/>
      <c r="K794" s="1556"/>
      <c r="L794" s="1556"/>
      <c r="M794" s="1556"/>
      <c r="N794" s="1556"/>
      <c r="O794" s="1556"/>
    </row>
    <row r="795" spans="1:16">
      <c r="C795" s="1556"/>
      <c r="D795" s="1556"/>
      <c r="E795" s="1556"/>
      <c r="F795" s="1556"/>
      <c r="G795" s="1556"/>
      <c r="H795" s="1556"/>
      <c r="I795" s="1556"/>
      <c r="J795" s="1556"/>
      <c r="K795" s="1556"/>
      <c r="L795" s="1556"/>
      <c r="M795" s="1556"/>
      <c r="N795" s="1556"/>
      <c r="O795" s="1556"/>
    </row>
    <row r="796" spans="1:16" ht="20.25">
      <c r="A796" s="733" t="str">
        <f>""&amp;A720&amp;" Worksheet J -  ATRR PROJECTED Calculation for PJM Projects Charged to Benefiting Zones"</f>
        <v xml:space="preserve"> Worksheet J -  ATRR PROJECTED Calculation for PJM Projects Charged to Benefiting Zones</v>
      </c>
      <c r="B796" s="346"/>
      <c r="C796" s="721"/>
      <c r="D796" s="534"/>
      <c r="E796" s="313"/>
      <c r="F796" s="703"/>
      <c r="G796" s="313"/>
      <c r="H796" s="704"/>
      <c r="K796" s="560"/>
      <c r="L796" s="560"/>
      <c r="M796" s="560"/>
      <c r="N796" s="649" t="str">
        <f>"Page "&amp;SUM(P$8:P796)&amp;" of "</f>
        <v xml:space="preserve">Page 10 of </v>
      </c>
      <c r="O796" s="650">
        <f>COUNT(P$8:P$56656)</f>
        <v>11</v>
      </c>
      <c r="P796" s="173">
        <v>1</v>
      </c>
    </row>
    <row r="797" spans="1:16" ht="20.25">
      <c r="A797" s="733"/>
      <c r="B797" s="346"/>
      <c r="C797" s="721"/>
      <c r="D797" s="534"/>
      <c r="E797" s="313"/>
      <c r="F797" s="703"/>
      <c r="G797" s="313"/>
      <c r="H797" s="704"/>
      <c r="K797" s="560"/>
      <c r="L797" s="560"/>
      <c r="M797" s="560"/>
      <c r="N797" s="649"/>
      <c r="O797" s="650"/>
    </row>
    <row r="798" spans="1:16" ht="18">
      <c r="B798" s="653" t="s">
        <v>474</v>
      </c>
      <c r="C798" s="735" t="s">
        <v>95</v>
      </c>
      <c r="D798" s="534"/>
      <c r="E798" s="313"/>
      <c r="F798" s="313"/>
      <c r="G798" s="313"/>
      <c r="H798" s="704"/>
      <c r="I798" s="704"/>
      <c r="J798" s="726"/>
      <c r="K798" s="704"/>
      <c r="L798" s="704"/>
      <c r="M798" s="704"/>
      <c r="N798" s="704"/>
      <c r="O798" s="313"/>
    </row>
    <row r="799" spans="1:16" ht="18.75">
      <c r="B799" s="653"/>
      <c r="C799" s="652"/>
      <c r="D799" s="534"/>
      <c r="E799" s="313"/>
      <c r="F799" s="313"/>
      <c r="G799" s="313"/>
      <c r="H799" s="704"/>
      <c r="I799" s="704"/>
      <c r="J799" s="726"/>
      <c r="K799" s="704"/>
      <c r="L799" s="704"/>
      <c r="M799" s="704"/>
      <c r="N799" s="704"/>
      <c r="O799" s="313"/>
    </row>
    <row r="800" spans="1:16" ht="18.75">
      <c r="B800" s="653"/>
      <c r="C800" s="652" t="s">
        <v>96</v>
      </c>
      <c r="D800" s="534"/>
      <c r="E800" s="313"/>
      <c r="F800" s="313"/>
      <c r="G800" s="313"/>
      <c r="H800" s="704"/>
      <c r="I800" s="704"/>
      <c r="J800" s="726"/>
      <c r="K800" s="704"/>
      <c r="L800" s="704"/>
      <c r="M800" s="704"/>
      <c r="N800" s="704"/>
      <c r="O800" s="313"/>
    </row>
    <row r="801" spans="2:15" ht="15.75" thickBot="1">
      <c r="C801" s="240"/>
      <c r="D801" s="534"/>
      <c r="E801" s="313"/>
      <c r="F801" s="313"/>
      <c r="G801" s="313"/>
      <c r="H801" s="704"/>
      <c r="I801" s="704"/>
      <c r="J801" s="726"/>
      <c r="K801" s="704"/>
      <c r="L801" s="704"/>
      <c r="M801" s="704"/>
      <c r="N801" s="704"/>
      <c r="O801" s="313"/>
    </row>
    <row r="802" spans="2:15" ht="15.75">
      <c r="C802" s="655" t="s">
        <v>97</v>
      </c>
      <c r="D802" s="534"/>
      <c r="E802" s="313"/>
      <c r="F802" s="313"/>
      <c r="G802" s="802"/>
      <c r="H802" s="313" t="s">
        <v>76</v>
      </c>
      <c r="I802" s="313"/>
      <c r="J802" s="423"/>
      <c r="K802" s="736" t="s">
        <v>101</v>
      </c>
      <c r="L802" s="737"/>
      <c r="M802" s="738"/>
      <c r="N802" s="739">
        <f>IF(I808=0,0,VLOOKUP(I808,C815:O874,5))</f>
        <v>4180566.081396875</v>
      </c>
      <c r="O802" s="313"/>
    </row>
    <row r="803" spans="2:15" ht="15.75">
      <c r="C803" s="655"/>
      <c r="D803" s="534"/>
      <c r="E803" s="313"/>
      <c r="F803" s="313"/>
      <c r="G803" s="313"/>
      <c r="H803" s="740"/>
      <c r="I803" s="740"/>
      <c r="J803" s="741"/>
      <c r="K803" s="742" t="s">
        <v>102</v>
      </c>
      <c r="L803" s="743"/>
      <c r="M803" s="423"/>
      <c r="N803" s="744">
        <f>IF(I808=0,0,VLOOKUP(I808,C815:O874,6))</f>
        <v>4180566.081396875</v>
      </c>
      <c r="O803" s="313"/>
    </row>
    <row r="804" spans="2:15" ht="13.5" thickBot="1">
      <c r="C804" s="745" t="s">
        <v>98</v>
      </c>
      <c r="D804" s="1557" t="s">
        <v>825</v>
      </c>
      <c r="E804" s="1557"/>
      <c r="F804" s="1557"/>
      <c r="G804" s="1557"/>
      <c r="H804" s="1557"/>
      <c r="I804" s="1557"/>
      <c r="J804" s="726"/>
      <c r="K804" s="746" t="s">
        <v>240</v>
      </c>
      <c r="L804" s="747"/>
      <c r="M804" s="747"/>
      <c r="N804" s="748">
        <f>+N803-N802</f>
        <v>0</v>
      </c>
      <c r="O804" s="313"/>
    </row>
    <row r="805" spans="2:15">
      <c r="C805" s="749"/>
      <c r="D805" s="1557"/>
      <c r="E805" s="1557"/>
      <c r="F805" s="1557"/>
      <c r="G805" s="1557"/>
      <c r="H805" s="1557"/>
      <c r="I805" s="1557"/>
      <c r="J805" s="726"/>
      <c r="K805" s="704"/>
      <c r="L805" s="704"/>
      <c r="M805" s="704"/>
      <c r="N805" s="704"/>
      <c r="O805" s="313"/>
    </row>
    <row r="806" spans="2:15" ht="13.5" thickBot="1">
      <c r="C806" s="752"/>
      <c r="D806" s="753"/>
      <c r="E806" s="751"/>
      <c r="F806" s="751"/>
      <c r="G806" s="751"/>
      <c r="H806" s="751"/>
      <c r="I806" s="751"/>
      <c r="J806" s="754"/>
      <c r="K806" s="751"/>
      <c r="L806" s="751"/>
      <c r="M806" s="751"/>
      <c r="N806" s="751"/>
      <c r="O806" s="346"/>
    </row>
    <row r="807" spans="2:15" ht="13.5" thickBot="1">
      <c r="C807" s="755" t="s">
        <v>99</v>
      </c>
      <c r="D807" s="756"/>
      <c r="E807" s="756"/>
      <c r="F807" s="756"/>
      <c r="G807" s="756"/>
      <c r="H807" s="756"/>
      <c r="I807" s="757"/>
      <c r="J807" s="758"/>
      <c r="K807" s="313"/>
      <c r="L807" s="313"/>
      <c r="M807" s="313"/>
      <c r="N807" s="313"/>
      <c r="O807" s="759"/>
    </row>
    <row r="808" spans="2:15" ht="15">
      <c r="C808" s="760" t="s">
        <v>77</v>
      </c>
      <c r="D808" s="1306">
        <v>32177046</v>
      </c>
      <c r="E808" s="721" t="s">
        <v>78</v>
      </c>
      <c r="G808" s="761"/>
      <c r="H808" s="761"/>
      <c r="I808" s="762">
        <f>$L$26</f>
        <v>2021</v>
      </c>
      <c r="J808" s="550"/>
      <c r="K808" s="1558" t="s">
        <v>249</v>
      </c>
      <c r="L808" s="1558"/>
      <c r="M808" s="1558"/>
      <c r="N808" s="1558"/>
      <c r="O808" s="1558"/>
    </row>
    <row r="809" spans="2:15">
      <c r="C809" s="760" t="s">
        <v>80</v>
      </c>
      <c r="D809" s="1307">
        <v>2017</v>
      </c>
      <c r="E809" s="760" t="s">
        <v>81</v>
      </c>
      <c r="F809" s="761"/>
      <c r="H809" s="173"/>
      <c r="I809" s="806">
        <f>IF(G802="",0,$F$17)</f>
        <v>0</v>
      </c>
      <c r="J809" s="763"/>
      <c r="K809" s="726" t="s">
        <v>249</v>
      </c>
    </row>
    <row r="810" spans="2:15">
      <c r="C810" s="760" t="s">
        <v>82</v>
      </c>
      <c r="D810" s="1308">
        <v>8</v>
      </c>
      <c r="E810" s="760" t="s">
        <v>83</v>
      </c>
      <c r="F810" s="761"/>
      <c r="H810" s="173"/>
      <c r="I810" s="764">
        <f>$G$70</f>
        <v>0.11565015966136639</v>
      </c>
      <c r="J810" s="765"/>
      <c r="K810" s="173" t="str">
        <f>"          INPUT PROJECTED ARR (WITH &amp; WITHOUT INCENTIVES) FROM EACH PRIOR YEAR"</f>
        <v xml:space="preserve">          INPUT PROJECTED ARR (WITH &amp; WITHOUT INCENTIVES) FROM EACH PRIOR YEAR</v>
      </c>
    </row>
    <row r="811" spans="2:15">
      <c r="C811" s="760" t="s">
        <v>84</v>
      </c>
      <c r="D811" s="766">
        <f>$G$79</f>
        <v>39</v>
      </c>
      <c r="E811" s="760" t="s">
        <v>85</v>
      </c>
      <c r="F811" s="761"/>
      <c r="H811" s="173"/>
      <c r="I811" s="764">
        <f>IF(G802="",I810,$G$69)</f>
        <v>0.11565015966136639</v>
      </c>
      <c r="J811" s="767"/>
      <c r="K811" s="173" t="s">
        <v>162</v>
      </c>
    </row>
    <row r="812" spans="2:15" ht="13.5" thickBot="1">
      <c r="C812" s="760" t="s">
        <v>86</v>
      </c>
      <c r="D812" s="803" t="s">
        <v>814</v>
      </c>
      <c r="E812" s="768" t="s">
        <v>87</v>
      </c>
      <c r="F812" s="769"/>
      <c r="G812" s="770"/>
      <c r="H812" s="770"/>
      <c r="I812" s="748">
        <f>IF(D808=0,0,D808/D811)</f>
        <v>825052.4615384615</v>
      </c>
      <c r="J812" s="726"/>
      <c r="K812" s="726" t="s">
        <v>168</v>
      </c>
      <c r="L812" s="726"/>
      <c r="M812" s="726"/>
      <c r="N812" s="726"/>
      <c r="O812" s="423"/>
    </row>
    <row r="813" spans="2:15" ht="51">
      <c r="B813" s="841"/>
      <c r="C813" s="771" t="s">
        <v>77</v>
      </c>
      <c r="D813" s="772" t="s">
        <v>88</v>
      </c>
      <c r="E813" s="773" t="s">
        <v>89</v>
      </c>
      <c r="F813" s="772" t="s">
        <v>90</v>
      </c>
      <c r="G813" s="773" t="s">
        <v>161</v>
      </c>
      <c r="H813" s="774" t="s">
        <v>161</v>
      </c>
      <c r="I813" s="771" t="s">
        <v>100</v>
      </c>
      <c r="J813" s="775"/>
      <c r="K813" s="773" t="s">
        <v>170</v>
      </c>
      <c r="L813" s="776"/>
      <c r="M813" s="773" t="s">
        <v>170</v>
      </c>
      <c r="N813" s="776"/>
      <c r="O813" s="776"/>
    </row>
    <row r="814" spans="2:15" ht="13.5" thickBot="1">
      <c r="C814" s="777" t="s">
        <v>477</v>
      </c>
      <c r="D814" s="778" t="s">
        <v>478</v>
      </c>
      <c r="E814" s="777" t="s">
        <v>371</v>
      </c>
      <c r="F814" s="778" t="s">
        <v>478</v>
      </c>
      <c r="G814" s="779" t="s">
        <v>103</v>
      </c>
      <c r="H814" s="780" t="s">
        <v>105</v>
      </c>
      <c r="I814" s="781" t="s">
        <v>17</v>
      </c>
      <c r="J814" s="782"/>
      <c r="K814" s="779" t="s">
        <v>92</v>
      </c>
      <c r="L814" s="783"/>
      <c r="M814" s="779" t="s">
        <v>105</v>
      </c>
      <c r="N814" s="783"/>
      <c r="O814" s="783"/>
    </row>
    <row r="815" spans="2:15">
      <c r="C815" s="784">
        <f>IF(D809= "","-",D809)</f>
        <v>2017</v>
      </c>
      <c r="D815" s="732">
        <f>+D808</f>
        <v>32177046</v>
      </c>
      <c r="E815" s="785">
        <f>+I812/12*(12-D810)</f>
        <v>275017.48717948719</v>
      </c>
      <c r="F815" s="732">
        <f>+D815-E815</f>
        <v>31902028.512820512</v>
      </c>
      <c r="G815" s="993">
        <f>+$I$96*((D815+F815)/2)+E815</f>
        <v>3980395.0863596303</v>
      </c>
      <c r="H815" s="994">
        <f>$I$97*((D815+F815)/2)+E815</f>
        <v>3980395.0863596303</v>
      </c>
      <c r="I815" s="788">
        <f>+H815-G815</f>
        <v>0</v>
      </c>
      <c r="J815" s="788"/>
      <c r="K815" s="1309">
        <v>3283917</v>
      </c>
      <c r="L815" s="789"/>
      <c r="M815" s="1309">
        <v>3283917</v>
      </c>
      <c r="N815" s="789"/>
      <c r="O815" s="789"/>
    </row>
    <row r="816" spans="2:15">
      <c r="C816" s="1327">
        <f>IF(D809="","-",+C815+1)</f>
        <v>2018</v>
      </c>
      <c r="D816" s="732">
        <f t="shared" ref="D816:D874" si="48">F815</f>
        <v>31902028.512820512</v>
      </c>
      <c r="E816" s="785">
        <f>IF(D816&gt;$I$812,$I$812,D816)</f>
        <v>825052.4615384615</v>
      </c>
      <c r="F816" s="732">
        <f t="shared" ref="F816:F874" si="49">+D816-E816</f>
        <v>31076976.051282052</v>
      </c>
      <c r="G816" s="790">
        <f t="shared" ref="G816:G874" si="50">+$I$96*((D816+F816)/2)+E816</f>
        <v>4466818.4281146536</v>
      </c>
      <c r="H816" s="791">
        <f t="shared" ref="H816:H874" si="51">$I$97*((D816+F816)/2)+E816</f>
        <v>4466818.4281146536</v>
      </c>
      <c r="I816" s="788">
        <f t="shared" ref="I816:I874" si="52">+H816-G816</f>
        <v>0</v>
      </c>
      <c r="J816" s="788"/>
      <c r="K816" s="1310">
        <v>3670194</v>
      </c>
      <c r="L816" s="792"/>
      <c r="M816" s="1310">
        <v>3670194</v>
      </c>
      <c r="N816" s="792"/>
      <c r="O816" s="792"/>
    </row>
    <row r="817" spans="3:15">
      <c r="C817" s="1304">
        <f>IF(D809="","-",+C816+1)</f>
        <v>2019</v>
      </c>
      <c r="D817" s="732">
        <f t="shared" si="48"/>
        <v>31076976.051282052</v>
      </c>
      <c r="E817" s="785">
        <f t="shared" ref="E817:E874" si="53">IF(D817&gt;$I$812,$I$812,D817)</f>
        <v>825052.4615384615</v>
      </c>
      <c r="F817" s="732">
        <f t="shared" si="49"/>
        <v>30251923.589743592</v>
      </c>
      <c r="G817" s="790">
        <f t="shared" si="50"/>
        <v>4371400.9792087283</v>
      </c>
      <c r="H817" s="791">
        <f t="shared" si="51"/>
        <v>4371400.9792087283</v>
      </c>
      <c r="I817" s="788">
        <f t="shared" si="52"/>
        <v>0</v>
      </c>
      <c r="J817" s="788"/>
      <c r="K817" s="1310"/>
      <c r="L817" s="792"/>
      <c r="M817" s="1310"/>
      <c r="N817" s="792"/>
      <c r="O817" s="792"/>
    </row>
    <row r="818" spans="3:15">
      <c r="C818" s="784">
        <f>IF(D809="","-",+C817+1)</f>
        <v>2020</v>
      </c>
      <c r="D818" s="732">
        <f t="shared" si="48"/>
        <v>30251923.589743592</v>
      </c>
      <c r="E818" s="785">
        <f t="shared" si="53"/>
        <v>825052.4615384615</v>
      </c>
      <c r="F818" s="732">
        <f t="shared" si="49"/>
        <v>29426871.128205132</v>
      </c>
      <c r="G818" s="790">
        <f t="shared" si="50"/>
        <v>4275983.5303028012</v>
      </c>
      <c r="H818" s="791">
        <f t="shared" si="51"/>
        <v>4275983.5303028012</v>
      </c>
      <c r="I818" s="788">
        <f t="shared" si="52"/>
        <v>0</v>
      </c>
      <c r="J818" s="788"/>
      <c r="K818" s="1310"/>
      <c r="L818" s="792"/>
      <c r="M818" s="1310"/>
      <c r="N818" s="792"/>
      <c r="O818" s="792"/>
    </row>
    <row r="819" spans="3:15">
      <c r="C819" s="1305">
        <f>IF(D809="","-",+C818+1)</f>
        <v>2021</v>
      </c>
      <c r="D819" s="732">
        <f t="shared" si="48"/>
        <v>29426871.128205132</v>
      </c>
      <c r="E819" s="785">
        <f t="shared" si="53"/>
        <v>825052.4615384615</v>
      </c>
      <c r="F819" s="732">
        <f t="shared" si="49"/>
        <v>28601818.666666672</v>
      </c>
      <c r="G819" s="790">
        <f t="shared" si="50"/>
        <v>4180566.081396875</v>
      </c>
      <c r="H819" s="791">
        <f t="shared" si="51"/>
        <v>4180566.081396875</v>
      </c>
      <c r="I819" s="788">
        <f t="shared" si="52"/>
        <v>0</v>
      </c>
      <c r="J819" s="788"/>
      <c r="K819" s="1310"/>
      <c r="L819" s="792"/>
      <c r="M819" s="1310"/>
      <c r="N819" s="792"/>
      <c r="O819" s="792"/>
    </row>
    <row r="820" spans="3:15">
      <c r="C820" s="1305">
        <f>IF(D809="","-",+C819+1)</f>
        <v>2022</v>
      </c>
      <c r="D820" s="732">
        <f t="shared" si="48"/>
        <v>28601818.666666672</v>
      </c>
      <c r="E820" s="785">
        <f t="shared" si="53"/>
        <v>825052.4615384615</v>
      </c>
      <c r="F820" s="732">
        <f t="shared" si="49"/>
        <v>27776766.205128212</v>
      </c>
      <c r="G820" s="790">
        <f t="shared" si="50"/>
        <v>4085148.6324909483</v>
      </c>
      <c r="H820" s="791">
        <f t="shared" si="51"/>
        <v>4085148.6324909483</v>
      </c>
      <c r="I820" s="788">
        <f t="shared" si="52"/>
        <v>0</v>
      </c>
      <c r="J820" s="788"/>
      <c r="K820" s="1310"/>
      <c r="L820" s="792"/>
      <c r="M820" s="1310"/>
      <c r="N820" s="792"/>
      <c r="O820" s="792"/>
    </row>
    <row r="821" spans="3:15">
      <c r="C821" s="784">
        <f>IF(D809="","-",+C820+1)</f>
        <v>2023</v>
      </c>
      <c r="D821" s="732">
        <f t="shared" si="48"/>
        <v>27776766.205128212</v>
      </c>
      <c r="E821" s="785">
        <f t="shared" si="53"/>
        <v>825052.4615384615</v>
      </c>
      <c r="F821" s="732">
        <f t="shared" si="49"/>
        <v>26951713.743589751</v>
      </c>
      <c r="G821" s="790">
        <f t="shared" si="50"/>
        <v>3989731.1835850226</v>
      </c>
      <c r="H821" s="791">
        <f t="shared" si="51"/>
        <v>3989731.1835850226</v>
      </c>
      <c r="I821" s="788">
        <f t="shared" si="52"/>
        <v>0</v>
      </c>
      <c r="J821" s="788"/>
      <c r="K821" s="1310"/>
      <c r="L821" s="792"/>
      <c r="M821" s="1310"/>
      <c r="N821" s="792"/>
      <c r="O821" s="792"/>
    </row>
    <row r="822" spans="3:15">
      <c r="C822" s="784">
        <f>IF(D809="","-",+C821+1)</f>
        <v>2024</v>
      </c>
      <c r="D822" s="732">
        <f t="shared" si="48"/>
        <v>26951713.743589751</v>
      </c>
      <c r="E822" s="785">
        <f t="shared" si="53"/>
        <v>825052.4615384615</v>
      </c>
      <c r="F822" s="732">
        <f t="shared" si="49"/>
        <v>26126661.282051291</v>
      </c>
      <c r="G822" s="790">
        <f t="shared" si="50"/>
        <v>3894313.7346790959</v>
      </c>
      <c r="H822" s="791">
        <f t="shared" si="51"/>
        <v>3894313.7346790959</v>
      </c>
      <c r="I822" s="788">
        <f t="shared" si="52"/>
        <v>0</v>
      </c>
      <c r="J822" s="788"/>
      <c r="K822" s="1310"/>
      <c r="L822" s="792"/>
      <c r="M822" s="1310"/>
      <c r="N822" s="792"/>
      <c r="O822" s="792"/>
    </row>
    <row r="823" spans="3:15">
      <c r="C823" s="784">
        <f>IF(D809="","-",+C822+1)</f>
        <v>2025</v>
      </c>
      <c r="D823" s="732">
        <f t="shared" si="48"/>
        <v>26126661.282051291</v>
      </c>
      <c r="E823" s="785">
        <f t="shared" si="53"/>
        <v>825052.4615384615</v>
      </c>
      <c r="F823" s="732">
        <f t="shared" si="49"/>
        <v>25301608.820512831</v>
      </c>
      <c r="G823" s="790">
        <f t="shared" si="50"/>
        <v>3798896.2857731702</v>
      </c>
      <c r="H823" s="791">
        <f t="shared" si="51"/>
        <v>3798896.2857731702</v>
      </c>
      <c r="I823" s="788">
        <f t="shared" si="52"/>
        <v>0</v>
      </c>
      <c r="J823" s="788"/>
      <c r="K823" s="1310"/>
      <c r="L823" s="792"/>
      <c r="M823" s="1310"/>
      <c r="N823" s="792"/>
      <c r="O823" s="792"/>
    </row>
    <row r="824" spans="3:15">
      <c r="C824" s="784">
        <f>IF(D809="","-",+C823+1)</f>
        <v>2026</v>
      </c>
      <c r="D824" s="732">
        <f t="shared" si="48"/>
        <v>25301608.820512831</v>
      </c>
      <c r="E824" s="785">
        <f t="shared" si="53"/>
        <v>825052.4615384615</v>
      </c>
      <c r="F824" s="732">
        <f t="shared" si="49"/>
        <v>24476556.358974371</v>
      </c>
      <c r="G824" s="790">
        <f t="shared" si="50"/>
        <v>3703478.8368672435</v>
      </c>
      <c r="H824" s="791">
        <f t="shared" si="51"/>
        <v>3703478.8368672435</v>
      </c>
      <c r="I824" s="788">
        <f t="shared" si="52"/>
        <v>0</v>
      </c>
      <c r="J824" s="788"/>
      <c r="K824" s="1310"/>
      <c r="L824" s="792"/>
      <c r="M824" s="1310"/>
      <c r="N824" s="792"/>
      <c r="O824" s="792"/>
    </row>
    <row r="825" spans="3:15">
      <c r="C825" s="784">
        <f>IF(D809="","-",+C824+1)</f>
        <v>2027</v>
      </c>
      <c r="D825" s="732">
        <f t="shared" si="48"/>
        <v>24476556.358974371</v>
      </c>
      <c r="E825" s="785">
        <f t="shared" si="53"/>
        <v>825052.4615384615</v>
      </c>
      <c r="F825" s="732">
        <f t="shared" si="49"/>
        <v>23651503.897435911</v>
      </c>
      <c r="G825" s="790">
        <f t="shared" si="50"/>
        <v>3608061.3879613173</v>
      </c>
      <c r="H825" s="791">
        <f t="shared" si="51"/>
        <v>3608061.3879613173</v>
      </c>
      <c r="I825" s="788">
        <f t="shared" si="52"/>
        <v>0</v>
      </c>
      <c r="J825" s="788"/>
      <c r="K825" s="1310"/>
      <c r="L825" s="792"/>
      <c r="M825" s="1310"/>
      <c r="N825" s="792"/>
      <c r="O825" s="792"/>
    </row>
    <row r="826" spans="3:15">
      <c r="C826" s="784">
        <f>IF(D809="","-",+C825+1)</f>
        <v>2028</v>
      </c>
      <c r="D826" s="732">
        <f t="shared" si="48"/>
        <v>23651503.897435911</v>
      </c>
      <c r="E826" s="785">
        <f t="shared" si="53"/>
        <v>825052.4615384615</v>
      </c>
      <c r="F826" s="732">
        <f t="shared" si="49"/>
        <v>22826451.435897451</v>
      </c>
      <c r="G826" s="790">
        <f t="shared" si="50"/>
        <v>3512643.9390553907</v>
      </c>
      <c r="H826" s="791">
        <f t="shared" si="51"/>
        <v>3512643.9390553907</v>
      </c>
      <c r="I826" s="788">
        <f t="shared" si="52"/>
        <v>0</v>
      </c>
      <c r="J826" s="788"/>
      <c r="K826" s="1310"/>
      <c r="L826" s="792"/>
      <c r="M826" s="1310"/>
      <c r="N826" s="792"/>
      <c r="O826" s="792"/>
    </row>
    <row r="827" spans="3:15">
      <c r="C827" s="784">
        <f>IF(D809="","-",+C826+1)</f>
        <v>2029</v>
      </c>
      <c r="D827" s="732">
        <f t="shared" si="48"/>
        <v>22826451.435897451</v>
      </c>
      <c r="E827" s="785">
        <f t="shared" si="53"/>
        <v>825052.4615384615</v>
      </c>
      <c r="F827" s="732">
        <f t="shared" si="49"/>
        <v>22001398.974358991</v>
      </c>
      <c r="G827" s="790">
        <f t="shared" si="50"/>
        <v>3417226.4901494649</v>
      </c>
      <c r="H827" s="791">
        <f t="shared" si="51"/>
        <v>3417226.4901494649</v>
      </c>
      <c r="I827" s="788">
        <f t="shared" si="52"/>
        <v>0</v>
      </c>
      <c r="J827" s="788"/>
      <c r="K827" s="1310"/>
      <c r="L827" s="792"/>
      <c r="M827" s="1310"/>
      <c r="N827" s="793"/>
      <c r="O827" s="792"/>
    </row>
    <row r="828" spans="3:15">
      <c r="C828" s="784">
        <f>IF(D809="","-",+C827+1)</f>
        <v>2030</v>
      </c>
      <c r="D828" s="732">
        <f t="shared" si="48"/>
        <v>22001398.974358991</v>
      </c>
      <c r="E828" s="785">
        <f t="shared" si="53"/>
        <v>825052.4615384615</v>
      </c>
      <c r="F828" s="732">
        <f t="shared" si="49"/>
        <v>21176346.512820531</v>
      </c>
      <c r="G828" s="790">
        <f t="shared" si="50"/>
        <v>3321809.0412435383</v>
      </c>
      <c r="H828" s="791">
        <f t="shared" si="51"/>
        <v>3321809.0412435383</v>
      </c>
      <c r="I828" s="788">
        <f t="shared" si="52"/>
        <v>0</v>
      </c>
      <c r="J828" s="788"/>
      <c r="K828" s="1310"/>
      <c r="L828" s="792"/>
      <c r="M828" s="1310"/>
      <c r="N828" s="792"/>
      <c r="O828" s="792"/>
    </row>
    <row r="829" spans="3:15">
      <c r="C829" s="784">
        <f>IF(D809="","-",+C828+1)</f>
        <v>2031</v>
      </c>
      <c r="D829" s="732">
        <f t="shared" si="48"/>
        <v>21176346.512820531</v>
      </c>
      <c r="E829" s="785">
        <f t="shared" si="53"/>
        <v>825052.4615384615</v>
      </c>
      <c r="F829" s="732">
        <f t="shared" si="49"/>
        <v>20351294.051282071</v>
      </c>
      <c r="G829" s="790">
        <f t="shared" si="50"/>
        <v>3226391.5923376125</v>
      </c>
      <c r="H829" s="791">
        <f t="shared" si="51"/>
        <v>3226391.5923376125</v>
      </c>
      <c r="I829" s="788">
        <f t="shared" si="52"/>
        <v>0</v>
      </c>
      <c r="J829" s="788"/>
      <c r="K829" s="1310"/>
      <c r="L829" s="792"/>
      <c r="M829" s="1310"/>
      <c r="N829" s="792"/>
      <c r="O829" s="792"/>
    </row>
    <row r="830" spans="3:15">
      <c r="C830" s="784">
        <f>IF(D809="","-",+C829+1)</f>
        <v>2032</v>
      </c>
      <c r="D830" s="732">
        <f t="shared" si="48"/>
        <v>20351294.051282071</v>
      </c>
      <c r="E830" s="785">
        <f t="shared" si="53"/>
        <v>825052.4615384615</v>
      </c>
      <c r="F830" s="732">
        <f t="shared" si="49"/>
        <v>19526241.58974361</v>
      </c>
      <c r="G830" s="790">
        <f t="shared" si="50"/>
        <v>3130974.1434316859</v>
      </c>
      <c r="H830" s="791">
        <f t="shared" si="51"/>
        <v>3130974.1434316859</v>
      </c>
      <c r="I830" s="788">
        <f t="shared" si="52"/>
        <v>0</v>
      </c>
      <c r="J830" s="788"/>
      <c r="K830" s="1310"/>
      <c r="L830" s="792"/>
      <c r="M830" s="1310"/>
      <c r="N830" s="792"/>
      <c r="O830" s="792"/>
    </row>
    <row r="831" spans="3:15">
      <c r="C831" s="784">
        <f>IF(D809="","-",+C830+1)</f>
        <v>2033</v>
      </c>
      <c r="D831" s="732">
        <f t="shared" si="48"/>
        <v>19526241.58974361</v>
      </c>
      <c r="E831" s="785">
        <f t="shared" si="53"/>
        <v>825052.4615384615</v>
      </c>
      <c r="F831" s="732">
        <f t="shared" si="49"/>
        <v>18701189.12820515</v>
      </c>
      <c r="G831" s="790">
        <f t="shared" si="50"/>
        <v>3035556.6945257601</v>
      </c>
      <c r="H831" s="791">
        <f t="shared" si="51"/>
        <v>3035556.6945257601</v>
      </c>
      <c r="I831" s="788">
        <f t="shared" si="52"/>
        <v>0</v>
      </c>
      <c r="J831" s="788"/>
      <c r="K831" s="1310"/>
      <c r="L831" s="792"/>
      <c r="M831" s="1310"/>
      <c r="N831" s="792"/>
      <c r="O831" s="792"/>
    </row>
    <row r="832" spans="3:15">
      <c r="C832" s="784">
        <f>IF(D809="","-",+C831+1)</f>
        <v>2034</v>
      </c>
      <c r="D832" s="732">
        <f t="shared" si="48"/>
        <v>18701189.12820515</v>
      </c>
      <c r="E832" s="785">
        <f t="shared" si="53"/>
        <v>825052.4615384615</v>
      </c>
      <c r="F832" s="732">
        <f t="shared" si="49"/>
        <v>17876136.66666669</v>
      </c>
      <c r="G832" s="790">
        <f t="shared" si="50"/>
        <v>2940139.245619833</v>
      </c>
      <c r="H832" s="791">
        <f t="shared" si="51"/>
        <v>2940139.245619833</v>
      </c>
      <c r="I832" s="788">
        <f t="shared" si="52"/>
        <v>0</v>
      </c>
      <c r="J832" s="788"/>
      <c r="K832" s="1310"/>
      <c r="L832" s="792"/>
      <c r="M832" s="1310"/>
      <c r="N832" s="792"/>
      <c r="O832" s="792"/>
    </row>
    <row r="833" spans="3:15">
      <c r="C833" s="784">
        <f>IF(D809="","-",+C832+1)</f>
        <v>2035</v>
      </c>
      <c r="D833" s="732">
        <f t="shared" si="48"/>
        <v>17876136.66666669</v>
      </c>
      <c r="E833" s="785">
        <f t="shared" si="53"/>
        <v>825052.4615384615</v>
      </c>
      <c r="F833" s="732">
        <f t="shared" si="49"/>
        <v>17051084.20512823</v>
      </c>
      <c r="G833" s="790">
        <f t="shared" si="50"/>
        <v>2844721.7967139073</v>
      </c>
      <c r="H833" s="791">
        <f t="shared" si="51"/>
        <v>2844721.7967139073</v>
      </c>
      <c r="I833" s="788">
        <f t="shared" si="52"/>
        <v>0</v>
      </c>
      <c r="J833" s="788"/>
      <c r="K833" s="1310"/>
      <c r="L833" s="792"/>
      <c r="M833" s="1310"/>
      <c r="N833" s="792"/>
      <c r="O833" s="792"/>
    </row>
    <row r="834" spans="3:15">
      <c r="C834" s="784">
        <f>IF(D809="","-",+C833+1)</f>
        <v>2036</v>
      </c>
      <c r="D834" s="732">
        <f t="shared" si="48"/>
        <v>17051084.20512823</v>
      </c>
      <c r="E834" s="785">
        <f t="shared" si="53"/>
        <v>825052.4615384615</v>
      </c>
      <c r="F834" s="732">
        <f t="shared" si="49"/>
        <v>16226031.743589768</v>
      </c>
      <c r="G834" s="790">
        <f t="shared" si="50"/>
        <v>2749304.3478079806</v>
      </c>
      <c r="H834" s="791">
        <f t="shared" si="51"/>
        <v>2749304.3478079806</v>
      </c>
      <c r="I834" s="788">
        <f t="shared" si="52"/>
        <v>0</v>
      </c>
      <c r="J834" s="788"/>
      <c r="K834" s="1310"/>
      <c r="L834" s="792"/>
      <c r="M834" s="1310"/>
      <c r="N834" s="792"/>
      <c r="O834" s="792"/>
    </row>
    <row r="835" spans="3:15">
      <c r="C835" s="784">
        <f>IF(D809="","-",+C834+1)</f>
        <v>2037</v>
      </c>
      <c r="D835" s="732">
        <f t="shared" si="48"/>
        <v>16226031.743589768</v>
      </c>
      <c r="E835" s="785">
        <f t="shared" si="53"/>
        <v>825052.4615384615</v>
      </c>
      <c r="F835" s="732">
        <f t="shared" si="49"/>
        <v>15400979.282051306</v>
      </c>
      <c r="G835" s="790">
        <f t="shared" si="50"/>
        <v>2653886.8989020544</v>
      </c>
      <c r="H835" s="791">
        <f t="shared" si="51"/>
        <v>2653886.8989020544</v>
      </c>
      <c r="I835" s="788">
        <f t="shared" si="52"/>
        <v>0</v>
      </c>
      <c r="J835" s="788"/>
      <c r="K835" s="1310"/>
      <c r="L835" s="792"/>
      <c r="M835" s="1310"/>
      <c r="N835" s="792"/>
      <c r="O835" s="792"/>
    </row>
    <row r="836" spans="3:15">
      <c r="C836" s="784">
        <f>IF(D809="","-",+C835+1)</f>
        <v>2038</v>
      </c>
      <c r="D836" s="732">
        <f t="shared" si="48"/>
        <v>15400979.282051306</v>
      </c>
      <c r="E836" s="785">
        <f t="shared" si="53"/>
        <v>825052.4615384615</v>
      </c>
      <c r="F836" s="732">
        <f t="shared" si="49"/>
        <v>14575926.820512844</v>
      </c>
      <c r="G836" s="790">
        <f t="shared" si="50"/>
        <v>2558469.4499961277</v>
      </c>
      <c r="H836" s="791">
        <f t="shared" si="51"/>
        <v>2558469.4499961277</v>
      </c>
      <c r="I836" s="788">
        <f t="shared" si="52"/>
        <v>0</v>
      </c>
      <c r="J836" s="788"/>
      <c r="K836" s="1310"/>
      <c r="L836" s="792"/>
      <c r="M836" s="1310"/>
      <c r="N836" s="792"/>
      <c r="O836" s="792"/>
    </row>
    <row r="837" spans="3:15">
      <c r="C837" s="784">
        <f>IF(D809="","-",+C836+1)</f>
        <v>2039</v>
      </c>
      <c r="D837" s="732">
        <f t="shared" si="48"/>
        <v>14575926.820512844</v>
      </c>
      <c r="E837" s="785">
        <f t="shared" si="53"/>
        <v>825052.4615384615</v>
      </c>
      <c r="F837" s="732">
        <f t="shared" si="49"/>
        <v>13750874.358974382</v>
      </c>
      <c r="G837" s="790">
        <f t="shared" si="50"/>
        <v>2463052.0010902015</v>
      </c>
      <c r="H837" s="791">
        <f t="shared" si="51"/>
        <v>2463052.0010902015</v>
      </c>
      <c r="I837" s="788">
        <f t="shared" si="52"/>
        <v>0</v>
      </c>
      <c r="J837" s="788"/>
      <c r="K837" s="1310"/>
      <c r="L837" s="792"/>
      <c r="M837" s="1310"/>
      <c r="N837" s="792"/>
      <c r="O837" s="792"/>
    </row>
    <row r="838" spans="3:15">
      <c r="C838" s="784">
        <f>IF(D809="","-",+C837+1)</f>
        <v>2040</v>
      </c>
      <c r="D838" s="732">
        <f t="shared" si="48"/>
        <v>13750874.358974382</v>
      </c>
      <c r="E838" s="785">
        <f t="shared" si="53"/>
        <v>825052.4615384615</v>
      </c>
      <c r="F838" s="732">
        <f t="shared" si="49"/>
        <v>12925821.89743592</v>
      </c>
      <c r="G838" s="790">
        <f t="shared" si="50"/>
        <v>2367634.5521842744</v>
      </c>
      <c r="H838" s="791">
        <f t="shared" si="51"/>
        <v>2367634.5521842744</v>
      </c>
      <c r="I838" s="788">
        <f t="shared" si="52"/>
        <v>0</v>
      </c>
      <c r="J838" s="788"/>
      <c r="K838" s="1310"/>
      <c r="L838" s="792"/>
      <c r="M838" s="1310"/>
      <c r="N838" s="792"/>
      <c r="O838" s="792"/>
    </row>
    <row r="839" spans="3:15">
      <c r="C839" s="784">
        <f>IF(D809="","-",+C838+1)</f>
        <v>2041</v>
      </c>
      <c r="D839" s="732">
        <f t="shared" si="48"/>
        <v>12925821.89743592</v>
      </c>
      <c r="E839" s="785">
        <f t="shared" si="53"/>
        <v>825052.4615384615</v>
      </c>
      <c r="F839" s="732">
        <f t="shared" si="49"/>
        <v>12100769.435897458</v>
      </c>
      <c r="G839" s="790">
        <f t="shared" si="50"/>
        <v>2272217.1032783482</v>
      </c>
      <c r="H839" s="791">
        <f t="shared" si="51"/>
        <v>2272217.1032783482</v>
      </c>
      <c r="I839" s="788">
        <f t="shared" si="52"/>
        <v>0</v>
      </c>
      <c r="J839" s="788"/>
      <c r="K839" s="1310"/>
      <c r="L839" s="792"/>
      <c r="M839" s="1310"/>
      <c r="N839" s="792"/>
      <c r="O839" s="792"/>
    </row>
    <row r="840" spans="3:15">
      <c r="C840" s="784">
        <f>IF(D809="","-",+C839+1)</f>
        <v>2042</v>
      </c>
      <c r="D840" s="732">
        <f t="shared" si="48"/>
        <v>12100769.435897458</v>
      </c>
      <c r="E840" s="785">
        <f t="shared" si="53"/>
        <v>825052.4615384615</v>
      </c>
      <c r="F840" s="732">
        <f t="shared" si="49"/>
        <v>11275716.974358996</v>
      </c>
      <c r="G840" s="790">
        <f t="shared" si="50"/>
        <v>2176799.654372422</v>
      </c>
      <c r="H840" s="791">
        <f t="shared" si="51"/>
        <v>2176799.654372422</v>
      </c>
      <c r="I840" s="788">
        <f t="shared" si="52"/>
        <v>0</v>
      </c>
      <c r="J840" s="788"/>
      <c r="K840" s="1310"/>
      <c r="L840" s="792"/>
      <c r="M840" s="1310"/>
      <c r="N840" s="792"/>
      <c r="O840" s="792"/>
    </row>
    <row r="841" spans="3:15">
      <c r="C841" s="784">
        <f>IF(D809="","-",+C840+1)</f>
        <v>2043</v>
      </c>
      <c r="D841" s="732">
        <f t="shared" si="48"/>
        <v>11275716.974358996</v>
      </c>
      <c r="E841" s="785">
        <f t="shared" si="53"/>
        <v>825052.4615384615</v>
      </c>
      <c r="F841" s="732">
        <f t="shared" si="49"/>
        <v>10450664.512820534</v>
      </c>
      <c r="G841" s="790">
        <f t="shared" si="50"/>
        <v>2081382.2054664956</v>
      </c>
      <c r="H841" s="791">
        <f t="shared" si="51"/>
        <v>2081382.2054664956</v>
      </c>
      <c r="I841" s="788">
        <f t="shared" si="52"/>
        <v>0</v>
      </c>
      <c r="J841" s="788"/>
      <c r="K841" s="1310"/>
      <c r="L841" s="792"/>
      <c r="M841" s="1310"/>
      <c r="N841" s="792"/>
      <c r="O841" s="792"/>
    </row>
    <row r="842" spans="3:15">
      <c r="C842" s="784">
        <f>IF(D809="","-",+C841+1)</f>
        <v>2044</v>
      </c>
      <c r="D842" s="732">
        <f t="shared" si="48"/>
        <v>10450664.512820534</v>
      </c>
      <c r="E842" s="785">
        <f t="shared" si="53"/>
        <v>825052.4615384615</v>
      </c>
      <c r="F842" s="732">
        <f t="shared" si="49"/>
        <v>9625612.0512820724</v>
      </c>
      <c r="G842" s="790">
        <f t="shared" si="50"/>
        <v>1985964.7565605687</v>
      </c>
      <c r="H842" s="791">
        <f t="shared" si="51"/>
        <v>1985964.7565605687</v>
      </c>
      <c r="I842" s="788">
        <f t="shared" si="52"/>
        <v>0</v>
      </c>
      <c r="J842" s="788"/>
      <c r="K842" s="1310"/>
      <c r="L842" s="792"/>
      <c r="M842" s="1310"/>
      <c r="N842" s="792"/>
      <c r="O842" s="792"/>
    </row>
    <row r="843" spans="3:15">
      <c r="C843" s="784">
        <f>IF(D809="","-",+C842+1)</f>
        <v>2045</v>
      </c>
      <c r="D843" s="732">
        <f t="shared" si="48"/>
        <v>9625612.0512820724</v>
      </c>
      <c r="E843" s="785">
        <f t="shared" si="53"/>
        <v>825052.4615384615</v>
      </c>
      <c r="F843" s="732">
        <f t="shared" si="49"/>
        <v>8800559.5897436105</v>
      </c>
      <c r="G843" s="786">
        <f t="shared" si="50"/>
        <v>1890547.3076546425</v>
      </c>
      <c r="H843" s="791">
        <f t="shared" si="51"/>
        <v>1890547.3076546425</v>
      </c>
      <c r="I843" s="788">
        <f t="shared" si="52"/>
        <v>0</v>
      </c>
      <c r="J843" s="788"/>
      <c r="K843" s="1310"/>
      <c r="L843" s="792"/>
      <c r="M843" s="1310"/>
      <c r="N843" s="792"/>
      <c r="O843" s="792"/>
    </row>
    <row r="844" spans="3:15">
      <c r="C844" s="784">
        <f>IF(D809="","-",+C843+1)</f>
        <v>2046</v>
      </c>
      <c r="D844" s="732">
        <f t="shared" si="48"/>
        <v>8800559.5897436105</v>
      </c>
      <c r="E844" s="785">
        <f t="shared" si="53"/>
        <v>825052.4615384615</v>
      </c>
      <c r="F844" s="732">
        <f t="shared" si="49"/>
        <v>7975507.1282051485</v>
      </c>
      <c r="G844" s="790">
        <f t="shared" si="50"/>
        <v>1795129.8587487158</v>
      </c>
      <c r="H844" s="791">
        <f t="shared" si="51"/>
        <v>1795129.8587487158</v>
      </c>
      <c r="I844" s="788">
        <f t="shared" si="52"/>
        <v>0</v>
      </c>
      <c r="J844" s="788"/>
      <c r="K844" s="1310"/>
      <c r="L844" s="792"/>
      <c r="M844" s="1310"/>
      <c r="N844" s="792"/>
      <c r="O844" s="792"/>
    </row>
    <row r="845" spans="3:15">
      <c r="C845" s="784">
        <f>IF(D809="","-",+C844+1)</f>
        <v>2047</v>
      </c>
      <c r="D845" s="732">
        <f t="shared" si="48"/>
        <v>7975507.1282051485</v>
      </c>
      <c r="E845" s="785">
        <f t="shared" si="53"/>
        <v>825052.4615384615</v>
      </c>
      <c r="F845" s="732">
        <f t="shared" si="49"/>
        <v>7150454.6666666865</v>
      </c>
      <c r="G845" s="790">
        <f t="shared" si="50"/>
        <v>1699712.4098427896</v>
      </c>
      <c r="H845" s="791">
        <f t="shared" si="51"/>
        <v>1699712.4098427896</v>
      </c>
      <c r="I845" s="788">
        <f t="shared" si="52"/>
        <v>0</v>
      </c>
      <c r="J845" s="788"/>
      <c r="K845" s="1310"/>
      <c r="L845" s="792"/>
      <c r="M845" s="1310"/>
      <c r="N845" s="792"/>
      <c r="O845" s="792"/>
    </row>
    <row r="846" spans="3:15">
      <c r="C846" s="784">
        <f>IF(D809="","-",+C845+1)</f>
        <v>2048</v>
      </c>
      <c r="D846" s="732">
        <f t="shared" si="48"/>
        <v>7150454.6666666865</v>
      </c>
      <c r="E846" s="785">
        <f t="shared" si="53"/>
        <v>825052.4615384615</v>
      </c>
      <c r="F846" s="732">
        <f t="shared" si="49"/>
        <v>6325402.2051282246</v>
      </c>
      <c r="G846" s="790">
        <f t="shared" si="50"/>
        <v>1604294.960936863</v>
      </c>
      <c r="H846" s="791">
        <f t="shared" si="51"/>
        <v>1604294.960936863</v>
      </c>
      <c r="I846" s="788">
        <f t="shared" si="52"/>
        <v>0</v>
      </c>
      <c r="J846" s="788"/>
      <c r="K846" s="1310"/>
      <c r="L846" s="792"/>
      <c r="M846" s="1310"/>
      <c r="N846" s="792"/>
      <c r="O846" s="792"/>
    </row>
    <row r="847" spans="3:15">
      <c r="C847" s="784">
        <f>IF(D809="","-",+C846+1)</f>
        <v>2049</v>
      </c>
      <c r="D847" s="732">
        <f t="shared" si="48"/>
        <v>6325402.2051282246</v>
      </c>
      <c r="E847" s="785">
        <f t="shared" si="53"/>
        <v>825052.4615384615</v>
      </c>
      <c r="F847" s="732">
        <f t="shared" si="49"/>
        <v>5500349.7435897626</v>
      </c>
      <c r="G847" s="790">
        <f t="shared" si="50"/>
        <v>1508877.5120309365</v>
      </c>
      <c r="H847" s="791">
        <f t="shared" si="51"/>
        <v>1508877.5120309365</v>
      </c>
      <c r="I847" s="788">
        <f t="shared" si="52"/>
        <v>0</v>
      </c>
      <c r="J847" s="788"/>
      <c r="K847" s="1310"/>
      <c r="L847" s="792"/>
      <c r="M847" s="1310"/>
      <c r="N847" s="792"/>
      <c r="O847" s="792"/>
    </row>
    <row r="848" spans="3:15">
      <c r="C848" s="784">
        <f>IF(D809="","-",+C847+1)</f>
        <v>2050</v>
      </c>
      <c r="D848" s="732">
        <f t="shared" si="48"/>
        <v>5500349.7435897626</v>
      </c>
      <c r="E848" s="785">
        <f t="shared" si="53"/>
        <v>825052.4615384615</v>
      </c>
      <c r="F848" s="732">
        <f t="shared" si="49"/>
        <v>4675297.2820513006</v>
      </c>
      <c r="G848" s="790">
        <f t="shared" si="50"/>
        <v>1413460.0631250101</v>
      </c>
      <c r="H848" s="791">
        <f t="shared" si="51"/>
        <v>1413460.0631250101</v>
      </c>
      <c r="I848" s="788">
        <f t="shared" si="52"/>
        <v>0</v>
      </c>
      <c r="J848" s="788"/>
      <c r="K848" s="1310"/>
      <c r="L848" s="792"/>
      <c r="M848" s="1310"/>
      <c r="N848" s="792"/>
      <c r="O848" s="792"/>
    </row>
    <row r="849" spans="3:15">
      <c r="C849" s="784">
        <f>IF(D809="","-",+C848+1)</f>
        <v>2051</v>
      </c>
      <c r="D849" s="732">
        <f t="shared" si="48"/>
        <v>4675297.2820513006</v>
      </c>
      <c r="E849" s="785">
        <f t="shared" si="53"/>
        <v>825052.4615384615</v>
      </c>
      <c r="F849" s="732">
        <f t="shared" si="49"/>
        <v>3850244.8205128391</v>
      </c>
      <c r="G849" s="790">
        <f t="shared" si="50"/>
        <v>1318042.6142190835</v>
      </c>
      <c r="H849" s="791">
        <f t="shared" si="51"/>
        <v>1318042.6142190835</v>
      </c>
      <c r="I849" s="788">
        <f t="shared" si="52"/>
        <v>0</v>
      </c>
      <c r="J849" s="788"/>
      <c r="K849" s="1310"/>
      <c r="L849" s="792"/>
      <c r="M849" s="1310"/>
      <c r="N849" s="792"/>
      <c r="O849" s="792"/>
    </row>
    <row r="850" spans="3:15">
      <c r="C850" s="784">
        <f>IF(D809="","-",+C849+1)</f>
        <v>2052</v>
      </c>
      <c r="D850" s="732">
        <f t="shared" si="48"/>
        <v>3850244.8205128391</v>
      </c>
      <c r="E850" s="785">
        <f t="shared" si="53"/>
        <v>825052.4615384615</v>
      </c>
      <c r="F850" s="732">
        <f t="shared" si="49"/>
        <v>3025192.3589743776</v>
      </c>
      <c r="G850" s="790">
        <f t="shared" si="50"/>
        <v>1222625.1653131573</v>
      </c>
      <c r="H850" s="791">
        <f t="shared" si="51"/>
        <v>1222625.1653131573</v>
      </c>
      <c r="I850" s="788">
        <f t="shared" si="52"/>
        <v>0</v>
      </c>
      <c r="J850" s="788"/>
      <c r="K850" s="1310"/>
      <c r="L850" s="792"/>
      <c r="M850" s="1310"/>
      <c r="N850" s="792"/>
      <c r="O850" s="792"/>
    </row>
    <row r="851" spans="3:15">
      <c r="C851" s="784">
        <f>IF(D809="","-",+C850+1)</f>
        <v>2053</v>
      </c>
      <c r="D851" s="732">
        <f t="shared" si="48"/>
        <v>3025192.3589743776</v>
      </c>
      <c r="E851" s="785">
        <f t="shared" si="53"/>
        <v>825052.4615384615</v>
      </c>
      <c r="F851" s="732">
        <f t="shared" si="49"/>
        <v>2200139.8974359161</v>
      </c>
      <c r="G851" s="790">
        <f t="shared" si="50"/>
        <v>1127207.7164072306</v>
      </c>
      <c r="H851" s="791">
        <f t="shared" si="51"/>
        <v>1127207.7164072306</v>
      </c>
      <c r="I851" s="788">
        <f t="shared" si="52"/>
        <v>0</v>
      </c>
      <c r="J851" s="788"/>
      <c r="K851" s="1310"/>
      <c r="L851" s="792"/>
      <c r="M851" s="1310"/>
      <c r="N851" s="792"/>
      <c r="O851" s="792"/>
    </row>
    <row r="852" spans="3:15">
      <c r="C852" s="784">
        <f>IF(D809="","-",+C851+1)</f>
        <v>2054</v>
      </c>
      <c r="D852" s="732">
        <f t="shared" si="48"/>
        <v>2200139.8974359161</v>
      </c>
      <c r="E852" s="785">
        <f t="shared" si="53"/>
        <v>825052.4615384615</v>
      </c>
      <c r="F852" s="732">
        <f t="shared" si="49"/>
        <v>1375087.4358974546</v>
      </c>
      <c r="G852" s="790">
        <f t="shared" si="50"/>
        <v>1031790.2675013043</v>
      </c>
      <c r="H852" s="791">
        <f t="shared" si="51"/>
        <v>1031790.2675013043</v>
      </c>
      <c r="I852" s="788">
        <f t="shared" si="52"/>
        <v>0</v>
      </c>
      <c r="J852" s="788"/>
      <c r="K852" s="1310"/>
      <c r="L852" s="792"/>
      <c r="M852" s="1310"/>
      <c r="N852" s="792"/>
      <c r="O852" s="792"/>
    </row>
    <row r="853" spans="3:15">
      <c r="C853" s="784">
        <f>IF(D809="","-",+C852+1)</f>
        <v>2055</v>
      </c>
      <c r="D853" s="732">
        <f t="shared" si="48"/>
        <v>1375087.4358974546</v>
      </c>
      <c r="E853" s="785">
        <f t="shared" si="53"/>
        <v>825052.4615384615</v>
      </c>
      <c r="F853" s="732">
        <f t="shared" si="49"/>
        <v>550034.97435899312</v>
      </c>
      <c r="G853" s="790">
        <f t="shared" si="50"/>
        <v>936372.81859537784</v>
      </c>
      <c r="H853" s="791">
        <f t="shared" si="51"/>
        <v>936372.81859537784</v>
      </c>
      <c r="I853" s="788">
        <f t="shared" si="52"/>
        <v>0</v>
      </c>
      <c r="J853" s="788"/>
      <c r="K853" s="1310"/>
      <c r="L853" s="792"/>
      <c r="M853" s="1310"/>
      <c r="N853" s="792"/>
      <c r="O853" s="792"/>
    </row>
    <row r="854" spans="3:15">
      <c r="C854" s="784">
        <f>IF(D809="","-",+C853+1)</f>
        <v>2056</v>
      </c>
      <c r="D854" s="732">
        <f t="shared" si="48"/>
        <v>550034.97435899312</v>
      </c>
      <c r="E854" s="785">
        <f t="shared" si="53"/>
        <v>550034.97435899312</v>
      </c>
      <c r="F854" s="732">
        <f t="shared" si="49"/>
        <v>0</v>
      </c>
      <c r="G854" s="790">
        <f t="shared" si="50"/>
        <v>581840.79066096968</v>
      </c>
      <c r="H854" s="791">
        <f t="shared" si="51"/>
        <v>581840.79066096968</v>
      </c>
      <c r="I854" s="788">
        <f t="shared" si="52"/>
        <v>0</v>
      </c>
      <c r="J854" s="788"/>
      <c r="K854" s="1310"/>
      <c r="L854" s="792"/>
      <c r="M854" s="1310"/>
      <c r="N854" s="792"/>
      <c r="O854" s="792"/>
    </row>
    <row r="855" spans="3:15">
      <c r="C855" s="784">
        <f>IF(D809="","-",+C854+1)</f>
        <v>2057</v>
      </c>
      <c r="D855" s="732">
        <f t="shared" si="48"/>
        <v>0</v>
      </c>
      <c r="E855" s="785">
        <f t="shared" si="53"/>
        <v>0</v>
      </c>
      <c r="F855" s="732">
        <f t="shared" si="49"/>
        <v>0</v>
      </c>
      <c r="G855" s="790">
        <f t="shared" si="50"/>
        <v>0</v>
      </c>
      <c r="H855" s="791">
        <f t="shared" si="51"/>
        <v>0</v>
      </c>
      <c r="I855" s="788">
        <f t="shared" si="52"/>
        <v>0</v>
      </c>
      <c r="J855" s="788"/>
      <c r="K855" s="1310"/>
      <c r="L855" s="792"/>
      <c r="M855" s="1310"/>
      <c r="N855" s="792"/>
      <c r="O855" s="792"/>
    </row>
    <row r="856" spans="3:15">
      <c r="C856" s="784">
        <f>IF(D809="","-",+C855+1)</f>
        <v>2058</v>
      </c>
      <c r="D856" s="732">
        <f t="shared" si="48"/>
        <v>0</v>
      </c>
      <c r="E856" s="785">
        <f t="shared" si="53"/>
        <v>0</v>
      </c>
      <c r="F856" s="732">
        <f t="shared" si="49"/>
        <v>0</v>
      </c>
      <c r="G856" s="790">
        <f t="shared" si="50"/>
        <v>0</v>
      </c>
      <c r="H856" s="791">
        <f t="shared" si="51"/>
        <v>0</v>
      </c>
      <c r="I856" s="788">
        <f t="shared" si="52"/>
        <v>0</v>
      </c>
      <c r="J856" s="788"/>
      <c r="K856" s="1310"/>
      <c r="L856" s="792"/>
      <c r="M856" s="1310"/>
      <c r="N856" s="792"/>
      <c r="O856" s="792"/>
    </row>
    <row r="857" spans="3:15">
      <c r="C857" s="784">
        <f>IF(D809="","-",+C856+1)</f>
        <v>2059</v>
      </c>
      <c r="D857" s="732">
        <f t="shared" si="48"/>
        <v>0</v>
      </c>
      <c r="E857" s="785">
        <f t="shared" si="53"/>
        <v>0</v>
      </c>
      <c r="F857" s="732">
        <f t="shared" si="49"/>
        <v>0</v>
      </c>
      <c r="G857" s="790">
        <f t="shared" si="50"/>
        <v>0</v>
      </c>
      <c r="H857" s="791">
        <f t="shared" si="51"/>
        <v>0</v>
      </c>
      <c r="I857" s="788">
        <f t="shared" si="52"/>
        <v>0</v>
      </c>
      <c r="J857" s="788"/>
      <c r="K857" s="1310"/>
      <c r="L857" s="792"/>
      <c r="M857" s="1310"/>
      <c r="N857" s="792"/>
      <c r="O857" s="792"/>
    </row>
    <row r="858" spans="3:15">
      <c r="C858" s="784">
        <f>IF(D809="","-",+C857+1)</f>
        <v>2060</v>
      </c>
      <c r="D858" s="732">
        <f t="shared" si="48"/>
        <v>0</v>
      </c>
      <c r="E858" s="785">
        <f t="shared" si="53"/>
        <v>0</v>
      </c>
      <c r="F858" s="732">
        <f t="shared" si="49"/>
        <v>0</v>
      </c>
      <c r="G858" s="790">
        <f t="shared" si="50"/>
        <v>0</v>
      </c>
      <c r="H858" s="791">
        <f t="shared" si="51"/>
        <v>0</v>
      </c>
      <c r="I858" s="788">
        <f t="shared" si="52"/>
        <v>0</v>
      </c>
      <c r="J858" s="788"/>
      <c r="K858" s="1310"/>
      <c r="L858" s="792"/>
      <c r="M858" s="1310"/>
      <c r="N858" s="792"/>
      <c r="O858" s="792"/>
    </row>
    <row r="859" spans="3:15">
      <c r="C859" s="784">
        <f>IF(D809="","-",+C858+1)</f>
        <v>2061</v>
      </c>
      <c r="D859" s="732">
        <f t="shared" si="48"/>
        <v>0</v>
      </c>
      <c r="E859" s="785">
        <f t="shared" si="53"/>
        <v>0</v>
      </c>
      <c r="F859" s="732">
        <f t="shared" si="49"/>
        <v>0</v>
      </c>
      <c r="G859" s="790">
        <f t="shared" si="50"/>
        <v>0</v>
      </c>
      <c r="H859" s="791">
        <f t="shared" si="51"/>
        <v>0</v>
      </c>
      <c r="I859" s="788">
        <f t="shared" si="52"/>
        <v>0</v>
      </c>
      <c r="J859" s="788"/>
      <c r="K859" s="1310"/>
      <c r="L859" s="792"/>
      <c r="M859" s="1310"/>
      <c r="N859" s="792"/>
      <c r="O859" s="792"/>
    </row>
    <row r="860" spans="3:15">
      <c r="C860" s="784">
        <f>IF(D809="","-",+C859+1)</f>
        <v>2062</v>
      </c>
      <c r="D860" s="732">
        <f t="shared" si="48"/>
        <v>0</v>
      </c>
      <c r="E860" s="785">
        <f t="shared" si="53"/>
        <v>0</v>
      </c>
      <c r="F860" s="732">
        <f t="shared" si="49"/>
        <v>0</v>
      </c>
      <c r="G860" s="790">
        <f t="shared" si="50"/>
        <v>0</v>
      </c>
      <c r="H860" s="791">
        <f t="shared" si="51"/>
        <v>0</v>
      </c>
      <c r="I860" s="788">
        <f t="shared" si="52"/>
        <v>0</v>
      </c>
      <c r="J860" s="788"/>
      <c r="K860" s="1310"/>
      <c r="L860" s="792"/>
      <c r="M860" s="1310"/>
      <c r="N860" s="792"/>
      <c r="O860" s="792"/>
    </row>
    <row r="861" spans="3:15">
      <c r="C861" s="784">
        <f>IF(D809="","-",+C860+1)</f>
        <v>2063</v>
      </c>
      <c r="D861" s="732">
        <f t="shared" si="48"/>
        <v>0</v>
      </c>
      <c r="E861" s="785">
        <f t="shared" si="53"/>
        <v>0</v>
      </c>
      <c r="F861" s="732">
        <f t="shared" si="49"/>
        <v>0</v>
      </c>
      <c r="G861" s="790">
        <f t="shared" si="50"/>
        <v>0</v>
      </c>
      <c r="H861" s="791">
        <f t="shared" si="51"/>
        <v>0</v>
      </c>
      <c r="I861" s="788">
        <f t="shared" si="52"/>
        <v>0</v>
      </c>
      <c r="J861" s="788"/>
      <c r="K861" s="1310"/>
      <c r="L861" s="792"/>
      <c r="M861" s="1310"/>
      <c r="N861" s="792"/>
      <c r="O861" s="792"/>
    </row>
    <row r="862" spans="3:15">
      <c r="C862" s="784">
        <f>IF(D809="","-",+C861+1)</f>
        <v>2064</v>
      </c>
      <c r="D862" s="732">
        <f t="shared" si="48"/>
        <v>0</v>
      </c>
      <c r="E862" s="785">
        <f t="shared" si="53"/>
        <v>0</v>
      </c>
      <c r="F862" s="732">
        <f t="shared" si="49"/>
        <v>0</v>
      </c>
      <c r="G862" s="790">
        <f t="shared" si="50"/>
        <v>0</v>
      </c>
      <c r="H862" s="791">
        <f t="shared" si="51"/>
        <v>0</v>
      </c>
      <c r="I862" s="788">
        <f t="shared" si="52"/>
        <v>0</v>
      </c>
      <c r="J862" s="788"/>
      <c r="K862" s="1310"/>
      <c r="L862" s="792"/>
      <c r="M862" s="1310"/>
      <c r="N862" s="792"/>
      <c r="O862" s="792"/>
    </row>
    <row r="863" spans="3:15">
      <c r="C863" s="784">
        <f>IF(D809="","-",+C862+1)</f>
        <v>2065</v>
      </c>
      <c r="D863" s="732">
        <f t="shared" si="48"/>
        <v>0</v>
      </c>
      <c r="E863" s="785">
        <f t="shared" si="53"/>
        <v>0</v>
      </c>
      <c r="F863" s="732">
        <f t="shared" si="49"/>
        <v>0</v>
      </c>
      <c r="G863" s="790">
        <f t="shared" si="50"/>
        <v>0</v>
      </c>
      <c r="H863" s="791">
        <f t="shared" si="51"/>
        <v>0</v>
      </c>
      <c r="I863" s="788">
        <f t="shared" si="52"/>
        <v>0</v>
      </c>
      <c r="J863" s="788"/>
      <c r="K863" s="1310"/>
      <c r="L863" s="792"/>
      <c r="M863" s="1310"/>
      <c r="N863" s="792"/>
      <c r="O863" s="792"/>
    </row>
    <row r="864" spans="3:15">
      <c r="C864" s="784">
        <f>IF(D809="","-",+C863+1)</f>
        <v>2066</v>
      </c>
      <c r="D864" s="732">
        <f t="shared" si="48"/>
        <v>0</v>
      </c>
      <c r="E864" s="785">
        <f t="shared" si="53"/>
        <v>0</v>
      </c>
      <c r="F864" s="732">
        <f t="shared" si="49"/>
        <v>0</v>
      </c>
      <c r="G864" s="790">
        <f t="shared" si="50"/>
        <v>0</v>
      </c>
      <c r="H864" s="791">
        <f t="shared" si="51"/>
        <v>0</v>
      </c>
      <c r="I864" s="788">
        <f t="shared" si="52"/>
        <v>0</v>
      </c>
      <c r="J864" s="788"/>
      <c r="K864" s="1310"/>
      <c r="L864" s="792"/>
      <c r="M864" s="1310"/>
      <c r="N864" s="792"/>
      <c r="O864" s="792"/>
    </row>
    <row r="865" spans="3:15">
      <c r="C865" s="784">
        <f>IF(D809="","-",+C864+1)</f>
        <v>2067</v>
      </c>
      <c r="D865" s="732">
        <f t="shared" si="48"/>
        <v>0</v>
      </c>
      <c r="E865" s="785">
        <f t="shared" si="53"/>
        <v>0</v>
      </c>
      <c r="F865" s="732">
        <f t="shared" si="49"/>
        <v>0</v>
      </c>
      <c r="G865" s="790">
        <f t="shared" si="50"/>
        <v>0</v>
      </c>
      <c r="H865" s="791">
        <f t="shared" si="51"/>
        <v>0</v>
      </c>
      <c r="I865" s="788">
        <f t="shared" si="52"/>
        <v>0</v>
      </c>
      <c r="J865" s="788"/>
      <c r="K865" s="1310"/>
      <c r="L865" s="792"/>
      <c r="M865" s="1310"/>
      <c r="N865" s="792"/>
      <c r="O865" s="792"/>
    </row>
    <row r="866" spans="3:15">
      <c r="C866" s="784">
        <f>IF(D809="","-",+C865+1)</f>
        <v>2068</v>
      </c>
      <c r="D866" s="732">
        <f t="shared" si="48"/>
        <v>0</v>
      </c>
      <c r="E866" s="785">
        <f t="shared" si="53"/>
        <v>0</v>
      </c>
      <c r="F866" s="732">
        <f t="shared" si="49"/>
        <v>0</v>
      </c>
      <c r="G866" s="790">
        <f t="shared" si="50"/>
        <v>0</v>
      </c>
      <c r="H866" s="791">
        <f t="shared" si="51"/>
        <v>0</v>
      </c>
      <c r="I866" s="788">
        <f t="shared" si="52"/>
        <v>0</v>
      </c>
      <c r="J866" s="788"/>
      <c r="K866" s="1310"/>
      <c r="L866" s="792"/>
      <c r="M866" s="1310"/>
      <c r="N866" s="792"/>
      <c r="O866" s="792"/>
    </row>
    <row r="867" spans="3:15">
      <c r="C867" s="784">
        <f>IF(D809="","-",+C866+1)</f>
        <v>2069</v>
      </c>
      <c r="D867" s="732">
        <f t="shared" si="48"/>
        <v>0</v>
      </c>
      <c r="E867" s="785">
        <f t="shared" si="53"/>
        <v>0</v>
      </c>
      <c r="F867" s="732">
        <f t="shared" si="49"/>
        <v>0</v>
      </c>
      <c r="G867" s="790">
        <f t="shared" si="50"/>
        <v>0</v>
      </c>
      <c r="H867" s="791">
        <f t="shared" si="51"/>
        <v>0</v>
      </c>
      <c r="I867" s="788">
        <f t="shared" si="52"/>
        <v>0</v>
      </c>
      <c r="J867" s="788"/>
      <c r="K867" s="1310"/>
      <c r="L867" s="792"/>
      <c r="M867" s="1310"/>
      <c r="N867" s="792"/>
      <c r="O867" s="792"/>
    </row>
    <row r="868" spans="3:15">
      <c r="C868" s="784">
        <f>IF(D809="","-",+C867+1)</f>
        <v>2070</v>
      </c>
      <c r="D868" s="732">
        <f t="shared" si="48"/>
        <v>0</v>
      </c>
      <c r="E868" s="785">
        <f t="shared" si="53"/>
        <v>0</v>
      </c>
      <c r="F868" s="732">
        <f t="shared" si="49"/>
        <v>0</v>
      </c>
      <c r="G868" s="790">
        <f t="shared" si="50"/>
        <v>0</v>
      </c>
      <c r="H868" s="791">
        <f t="shared" si="51"/>
        <v>0</v>
      </c>
      <c r="I868" s="788">
        <f t="shared" si="52"/>
        <v>0</v>
      </c>
      <c r="J868" s="788"/>
      <c r="K868" s="1310"/>
      <c r="L868" s="792"/>
      <c r="M868" s="1310"/>
      <c r="N868" s="792"/>
      <c r="O868" s="792"/>
    </row>
    <row r="869" spans="3:15">
      <c r="C869" s="784">
        <f>IF(D809="","-",+C868+1)</f>
        <v>2071</v>
      </c>
      <c r="D869" s="732">
        <f t="shared" si="48"/>
        <v>0</v>
      </c>
      <c r="E869" s="785">
        <f t="shared" si="53"/>
        <v>0</v>
      </c>
      <c r="F869" s="732">
        <f t="shared" si="49"/>
        <v>0</v>
      </c>
      <c r="G869" s="790">
        <f t="shared" si="50"/>
        <v>0</v>
      </c>
      <c r="H869" s="791">
        <f t="shared" si="51"/>
        <v>0</v>
      </c>
      <c r="I869" s="788">
        <f t="shared" si="52"/>
        <v>0</v>
      </c>
      <c r="J869" s="788"/>
      <c r="K869" s="1310"/>
      <c r="L869" s="792"/>
      <c r="M869" s="1310"/>
      <c r="N869" s="792"/>
      <c r="O869" s="792"/>
    </row>
    <row r="870" spans="3:15">
      <c r="C870" s="784">
        <f>IF(D809="","-",+C869+1)</f>
        <v>2072</v>
      </c>
      <c r="D870" s="732">
        <f t="shared" si="48"/>
        <v>0</v>
      </c>
      <c r="E870" s="785">
        <f t="shared" si="53"/>
        <v>0</v>
      </c>
      <c r="F870" s="732">
        <f t="shared" si="49"/>
        <v>0</v>
      </c>
      <c r="G870" s="790">
        <f t="shared" si="50"/>
        <v>0</v>
      </c>
      <c r="H870" s="791">
        <f t="shared" si="51"/>
        <v>0</v>
      </c>
      <c r="I870" s="788">
        <f t="shared" si="52"/>
        <v>0</v>
      </c>
      <c r="J870" s="788"/>
      <c r="K870" s="1310"/>
      <c r="L870" s="792"/>
      <c r="M870" s="1310"/>
      <c r="N870" s="792"/>
      <c r="O870" s="792"/>
    </row>
    <row r="871" spans="3:15">
      <c r="C871" s="784">
        <f>IF(D809="","-",+C870+1)</f>
        <v>2073</v>
      </c>
      <c r="D871" s="732">
        <f t="shared" si="48"/>
        <v>0</v>
      </c>
      <c r="E871" s="785">
        <f t="shared" si="53"/>
        <v>0</v>
      </c>
      <c r="F871" s="732">
        <f t="shared" si="49"/>
        <v>0</v>
      </c>
      <c r="G871" s="790">
        <f t="shared" si="50"/>
        <v>0</v>
      </c>
      <c r="H871" s="791">
        <f t="shared" si="51"/>
        <v>0</v>
      </c>
      <c r="I871" s="788">
        <f t="shared" si="52"/>
        <v>0</v>
      </c>
      <c r="J871" s="788"/>
      <c r="K871" s="1310"/>
      <c r="L871" s="792"/>
      <c r="M871" s="1310"/>
      <c r="N871" s="792"/>
      <c r="O871" s="792"/>
    </row>
    <row r="872" spans="3:15">
      <c r="C872" s="784">
        <f>IF(D809="","-",+C871+1)</f>
        <v>2074</v>
      </c>
      <c r="D872" s="732">
        <f t="shared" si="48"/>
        <v>0</v>
      </c>
      <c r="E872" s="785">
        <f t="shared" si="53"/>
        <v>0</v>
      </c>
      <c r="F872" s="732">
        <f t="shared" si="49"/>
        <v>0</v>
      </c>
      <c r="G872" s="790">
        <f t="shared" si="50"/>
        <v>0</v>
      </c>
      <c r="H872" s="791">
        <f t="shared" si="51"/>
        <v>0</v>
      </c>
      <c r="I872" s="788">
        <f t="shared" si="52"/>
        <v>0</v>
      </c>
      <c r="J872" s="788"/>
      <c r="K872" s="1310"/>
      <c r="L872" s="792"/>
      <c r="M872" s="1310"/>
      <c r="N872" s="792"/>
      <c r="O872" s="792"/>
    </row>
    <row r="873" spans="3:15">
      <c r="C873" s="784">
        <f>IF(D809="","-",+C872+1)</f>
        <v>2075</v>
      </c>
      <c r="D873" s="732">
        <f t="shared" si="48"/>
        <v>0</v>
      </c>
      <c r="E873" s="785">
        <f t="shared" si="53"/>
        <v>0</v>
      </c>
      <c r="F873" s="732">
        <f t="shared" si="49"/>
        <v>0</v>
      </c>
      <c r="G873" s="790">
        <f t="shared" si="50"/>
        <v>0</v>
      </c>
      <c r="H873" s="791">
        <f t="shared" si="51"/>
        <v>0</v>
      </c>
      <c r="I873" s="788">
        <f t="shared" si="52"/>
        <v>0</v>
      </c>
      <c r="J873" s="788"/>
      <c r="K873" s="1310"/>
      <c r="L873" s="792"/>
      <c r="M873" s="1310"/>
      <c r="N873" s="792"/>
      <c r="O873" s="792"/>
    </row>
    <row r="874" spans="3:15" ht="13.5" thickBot="1">
      <c r="C874" s="794">
        <f>IF(D809="","-",+C873+1)</f>
        <v>2076</v>
      </c>
      <c r="D874" s="795">
        <f t="shared" si="48"/>
        <v>0</v>
      </c>
      <c r="E874" s="796">
        <f t="shared" si="53"/>
        <v>0</v>
      </c>
      <c r="F874" s="795">
        <f t="shared" si="49"/>
        <v>0</v>
      </c>
      <c r="G874" s="797">
        <f t="shared" si="50"/>
        <v>0</v>
      </c>
      <c r="H874" s="797">
        <f t="shared" si="51"/>
        <v>0</v>
      </c>
      <c r="I874" s="798">
        <f t="shared" si="52"/>
        <v>0</v>
      </c>
      <c r="J874" s="788"/>
      <c r="K874" s="1311"/>
      <c r="L874" s="799"/>
      <c r="M874" s="1311"/>
      <c r="N874" s="799"/>
      <c r="O874" s="799"/>
    </row>
    <row r="875" spans="3:15">
      <c r="C875" s="732" t="s">
        <v>93</v>
      </c>
      <c r="D875" s="726"/>
      <c r="E875" s="726">
        <f>SUM(E815:E874)</f>
        <v>32177046</v>
      </c>
      <c r="F875" s="726"/>
      <c r="G875" s="726">
        <f>SUM(G815:G874)</f>
        <v>107222869.56451122</v>
      </c>
      <c r="H875" s="726">
        <f>SUM(H815:H874)</f>
        <v>107222869.56451122</v>
      </c>
      <c r="I875" s="726">
        <f>SUM(I815:I874)</f>
        <v>0</v>
      </c>
      <c r="J875" s="726"/>
      <c r="K875" s="726"/>
      <c r="L875" s="726"/>
      <c r="M875" s="726"/>
      <c r="N875" s="726"/>
      <c r="O875" s="313"/>
    </row>
    <row r="876" spans="3:15">
      <c r="D876" s="534"/>
      <c r="E876" s="313"/>
      <c r="F876" s="313"/>
      <c r="G876" s="313"/>
      <c r="H876" s="704"/>
      <c r="I876" s="704"/>
      <c r="J876" s="726"/>
      <c r="K876" s="704"/>
      <c r="L876" s="704"/>
      <c r="M876" s="704"/>
      <c r="N876" s="704"/>
      <c r="O876" s="313"/>
    </row>
    <row r="877" spans="3:15">
      <c r="C877" s="313" t="s">
        <v>15</v>
      </c>
      <c r="D877" s="534"/>
      <c r="E877" s="313"/>
      <c r="F877" s="313"/>
      <c r="G877" s="313"/>
      <c r="H877" s="704"/>
      <c r="I877" s="704"/>
      <c r="J877" s="726"/>
      <c r="K877" s="704"/>
      <c r="L877" s="704"/>
      <c r="M877" s="704"/>
      <c r="N877" s="704"/>
      <c r="O877" s="313"/>
    </row>
    <row r="878" spans="3:15">
      <c r="C878" s="313"/>
      <c r="D878" s="534"/>
      <c r="E878" s="313"/>
      <c r="F878" s="313"/>
      <c r="G878" s="313"/>
      <c r="H878" s="704"/>
      <c r="I878" s="704"/>
      <c r="J878" s="726"/>
      <c r="K878" s="704"/>
      <c r="L878" s="704"/>
      <c r="M878" s="704"/>
      <c r="N878" s="704"/>
      <c r="O878" s="313"/>
    </row>
    <row r="879" spans="3:15">
      <c r="C879" s="745" t="s">
        <v>16</v>
      </c>
      <c r="D879" s="732"/>
      <c r="E879" s="732"/>
      <c r="F879" s="732"/>
      <c r="G879" s="726"/>
      <c r="H879" s="726"/>
      <c r="I879" s="800"/>
      <c r="J879" s="800"/>
      <c r="K879" s="800"/>
      <c r="L879" s="800"/>
      <c r="M879" s="800"/>
      <c r="N879" s="800"/>
      <c r="O879" s="313"/>
    </row>
    <row r="880" spans="3:15">
      <c r="C880" s="731" t="s">
        <v>273</v>
      </c>
      <c r="D880" s="732"/>
      <c r="E880" s="732"/>
      <c r="F880" s="732"/>
      <c r="G880" s="726"/>
      <c r="H880" s="726"/>
      <c r="I880" s="800"/>
      <c r="J880" s="800"/>
      <c r="K880" s="800"/>
      <c r="L880" s="800"/>
      <c r="M880" s="800"/>
      <c r="N880" s="800"/>
      <c r="O880" s="313"/>
    </row>
    <row r="881" spans="1:16">
      <c r="C881" s="731" t="s">
        <v>94</v>
      </c>
      <c r="D881" s="732"/>
      <c r="E881" s="732"/>
      <c r="F881" s="732"/>
      <c r="G881" s="726"/>
      <c r="H881" s="726"/>
      <c r="I881" s="800"/>
      <c r="J881" s="800"/>
      <c r="K881" s="800"/>
      <c r="L881" s="800"/>
      <c r="M881" s="800"/>
      <c r="N881" s="800"/>
      <c r="O881" s="313"/>
    </row>
    <row r="882" spans="1:16">
      <c r="C882" s="731"/>
      <c r="D882" s="732"/>
      <c r="E882" s="732"/>
      <c r="F882" s="732"/>
      <c r="G882" s="726"/>
      <c r="H882" s="726"/>
      <c r="I882" s="800"/>
      <c r="J882" s="800"/>
      <c r="K882" s="800"/>
      <c r="L882" s="800"/>
      <c r="M882" s="800"/>
      <c r="N882" s="800"/>
      <c r="O882" s="313"/>
    </row>
    <row r="883" spans="1:16">
      <c r="C883" s="1556" t="s">
        <v>8</v>
      </c>
      <c r="D883" s="1556"/>
      <c r="E883" s="1556"/>
      <c r="F883" s="1556"/>
      <c r="G883" s="1556"/>
      <c r="H883" s="1556"/>
      <c r="I883" s="1556"/>
      <c r="J883" s="1556"/>
      <c r="K883" s="1556"/>
      <c r="L883" s="1556"/>
      <c r="M883" s="1556"/>
      <c r="N883" s="1556"/>
      <c r="O883" s="1556"/>
    </row>
    <row r="884" spans="1:16">
      <c r="C884" s="1556"/>
      <c r="D884" s="1556"/>
      <c r="E884" s="1556"/>
      <c r="F884" s="1556"/>
      <c r="G884" s="1556"/>
      <c r="H884" s="1556"/>
      <c r="I884" s="1556"/>
      <c r="J884" s="1556"/>
      <c r="K884" s="1556"/>
      <c r="L884" s="1556"/>
      <c r="M884" s="1556"/>
      <c r="N884" s="1556"/>
      <c r="O884" s="1556"/>
    </row>
    <row r="887" spans="1:16" ht="20.25">
      <c r="A887" s="733" t="str">
        <f>""&amp;A811&amp;" Worksheet J -  ATRR PROJECTED Calculation for PJM Projects Charged to Benefiting Zones"</f>
        <v xml:space="preserve"> Worksheet J -  ATRR PROJECTED Calculation for PJM Projects Charged to Benefiting Zones</v>
      </c>
      <c r="B887" s="346"/>
      <c r="C887" s="721"/>
      <c r="D887" s="534"/>
      <c r="E887" s="313"/>
      <c r="F887" s="703"/>
      <c r="G887" s="313"/>
      <c r="H887" s="704"/>
      <c r="K887" s="560"/>
      <c r="L887" s="560"/>
      <c r="M887" s="560"/>
      <c r="N887" s="649" t="str">
        <f>"Page "&amp;SUM(P$8:P887)&amp;" of "</f>
        <v xml:space="preserve">Page 11 of </v>
      </c>
      <c r="O887" s="650">
        <f>COUNT(P$8:P$56656)</f>
        <v>11</v>
      </c>
      <c r="P887" s="173">
        <v>1</v>
      </c>
    </row>
    <row r="888" spans="1:16" ht="20.25">
      <c r="A888" s="733"/>
      <c r="B888" s="346"/>
      <c r="C888" s="721"/>
      <c r="D888" s="534"/>
      <c r="E888" s="313"/>
      <c r="F888" s="703"/>
      <c r="G888" s="313"/>
      <c r="H888" s="704"/>
      <c r="K888" s="560"/>
      <c r="L888" s="560"/>
      <c r="M888" s="560"/>
      <c r="N888" s="649"/>
      <c r="O888" s="650"/>
    </row>
    <row r="889" spans="1:16" ht="18">
      <c r="B889" s="653" t="s">
        <v>474</v>
      </c>
      <c r="C889" s="735" t="s">
        <v>95</v>
      </c>
      <c r="D889" s="534"/>
      <c r="E889" s="313"/>
      <c r="F889" s="313"/>
      <c r="G889" s="313"/>
      <c r="H889" s="704"/>
      <c r="I889" s="704"/>
      <c r="J889" s="726"/>
      <c r="K889" s="704"/>
      <c r="L889" s="704"/>
      <c r="M889" s="704"/>
      <c r="N889" s="704"/>
      <c r="O889" s="313"/>
    </row>
    <row r="890" spans="1:16" ht="18.75">
      <c r="B890" s="653"/>
      <c r="C890" s="652"/>
      <c r="D890" s="534"/>
      <c r="E890" s="313"/>
      <c r="F890" s="313"/>
      <c r="G890" s="313"/>
      <c r="H890" s="704"/>
      <c r="I890" s="704"/>
      <c r="J890" s="726"/>
      <c r="K890" s="704"/>
      <c r="L890" s="704"/>
      <c r="M890" s="704"/>
      <c r="N890" s="704"/>
      <c r="O890" s="313"/>
    </row>
    <row r="891" spans="1:16" ht="18.75">
      <c r="B891" s="653"/>
      <c r="C891" s="652" t="s">
        <v>96</v>
      </c>
      <c r="D891" s="534"/>
      <c r="E891" s="313"/>
      <c r="F891" s="313"/>
      <c r="G891" s="313"/>
      <c r="H891" s="704"/>
      <c r="I891" s="704"/>
      <c r="J891" s="726"/>
      <c r="K891" s="704"/>
      <c r="L891" s="704"/>
      <c r="M891" s="704"/>
      <c r="N891" s="704"/>
      <c r="O891" s="313"/>
    </row>
    <row r="892" spans="1:16" ht="15.75" thickBot="1">
      <c r="C892" s="240"/>
      <c r="D892" s="534"/>
      <c r="E892" s="313"/>
      <c r="F892" s="313"/>
      <c r="G892" s="313"/>
      <c r="H892" s="704"/>
      <c r="I892" s="704"/>
      <c r="J892" s="726"/>
      <c r="K892" s="704"/>
      <c r="L892" s="704"/>
      <c r="M892" s="704"/>
      <c r="N892" s="704"/>
      <c r="O892" s="313"/>
    </row>
    <row r="893" spans="1:16" ht="15.75">
      <c r="C893" s="655" t="s">
        <v>97</v>
      </c>
      <c r="D893" s="534"/>
      <c r="E893" s="313"/>
      <c r="F893" s="313"/>
      <c r="G893" s="802"/>
      <c r="H893" s="313" t="s">
        <v>76</v>
      </c>
      <c r="I893" s="313"/>
      <c r="J893" s="423"/>
      <c r="K893" s="736" t="s">
        <v>101</v>
      </c>
      <c r="L893" s="737"/>
      <c r="M893" s="738"/>
      <c r="N893" s="739">
        <f>IF(I899=0,0,VLOOKUP(I899,C906:O965,5))</f>
        <v>1065768.2919738146</v>
      </c>
      <c r="O893" s="313"/>
    </row>
    <row r="894" spans="1:16" ht="15.75">
      <c r="C894" s="655"/>
      <c r="D894" s="534"/>
      <c r="E894" s="313"/>
      <c r="F894" s="313"/>
      <c r="G894" s="313"/>
      <c r="H894" s="740"/>
      <c r="I894" s="740"/>
      <c r="J894" s="741"/>
      <c r="K894" s="742" t="s">
        <v>102</v>
      </c>
      <c r="L894" s="743"/>
      <c r="M894" s="423"/>
      <c r="N894" s="744">
        <f>IF(I899=0,0,VLOOKUP(I899,C906:O965,6))</f>
        <v>1065768.2919738146</v>
      </c>
      <c r="O894" s="313"/>
    </row>
    <row r="895" spans="1:16" ht="13.5" thickBot="1">
      <c r="C895" s="745" t="s">
        <v>98</v>
      </c>
      <c r="D895" s="1557" t="s">
        <v>833</v>
      </c>
      <c r="E895" s="1557"/>
      <c r="F895" s="1557"/>
      <c r="G895" s="1557"/>
      <c r="H895" s="1557"/>
      <c r="I895" s="1557"/>
      <c r="J895" s="726"/>
      <c r="K895" s="746" t="s">
        <v>240</v>
      </c>
      <c r="L895" s="747"/>
      <c r="M895" s="747"/>
      <c r="N895" s="748">
        <f>+N894-N893</f>
        <v>0</v>
      </c>
      <c r="O895" s="313"/>
    </row>
    <row r="896" spans="1:16">
      <c r="C896" s="749"/>
      <c r="D896" s="1557"/>
      <c r="E896" s="1557"/>
      <c r="F896" s="1557"/>
      <c r="G896" s="1557"/>
      <c r="H896" s="1557"/>
      <c r="I896" s="1557"/>
      <c r="J896" s="726"/>
      <c r="K896" s="704"/>
      <c r="L896" s="704"/>
      <c r="M896" s="704"/>
      <c r="N896" s="704"/>
      <c r="O896" s="313"/>
    </row>
    <row r="897" spans="2:15" ht="13.5" thickBot="1">
      <c r="C897" s="752"/>
      <c r="D897" s="753"/>
      <c r="E897" s="751"/>
      <c r="F897" s="751"/>
      <c r="G897" s="751"/>
      <c r="H897" s="751"/>
      <c r="I897" s="751"/>
      <c r="J897" s="754"/>
      <c r="K897" s="751"/>
      <c r="L897" s="751"/>
      <c r="M897" s="751"/>
      <c r="N897" s="751"/>
      <c r="O897" s="346"/>
    </row>
    <row r="898" spans="2:15" ht="13.5" thickBot="1">
      <c r="C898" s="755" t="s">
        <v>99</v>
      </c>
      <c r="D898" s="756"/>
      <c r="E898" s="756"/>
      <c r="F898" s="756"/>
      <c r="G898" s="756"/>
      <c r="H898" s="756"/>
      <c r="I898" s="757"/>
      <c r="J898" s="758"/>
      <c r="K898" s="313"/>
      <c r="L898" s="313"/>
      <c r="M898" s="313"/>
      <c r="N898" s="313"/>
      <c r="O898" s="759"/>
    </row>
    <row r="899" spans="2:15" ht="15">
      <c r="C899" s="760" t="s">
        <v>77</v>
      </c>
      <c r="D899" s="1306">
        <v>8427428</v>
      </c>
      <c r="E899" s="721" t="s">
        <v>78</v>
      </c>
      <c r="G899" s="761"/>
      <c r="H899" s="761"/>
      <c r="I899" s="762">
        <f>$L$26</f>
        <v>2021</v>
      </c>
      <c r="J899" s="550"/>
      <c r="K899" s="1558" t="s">
        <v>249</v>
      </c>
      <c r="L899" s="1558"/>
      <c r="M899" s="1558"/>
      <c r="N899" s="1558"/>
      <c r="O899" s="1558"/>
    </row>
    <row r="900" spans="2:15">
      <c r="C900" s="760" t="s">
        <v>80</v>
      </c>
      <c r="D900" s="1307">
        <v>2016</v>
      </c>
      <c r="E900" s="760" t="s">
        <v>81</v>
      </c>
      <c r="F900" s="761"/>
      <c r="H900" s="173"/>
      <c r="I900" s="806">
        <f>IF(G893="",0,$F$17)</f>
        <v>0</v>
      </c>
      <c r="J900" s="763"/>
      <c r="K900" s="726" t="s">
        <v>249</v>
      </c>
    </row>
    <row r="901" spans="2:15">
      <c r="C901" s="760" t="s">
        <v>82</v>
      </c>
      <c r="D901" s="1308">
        <v>6</v>
      </c>
      <c r="E901" s="760" t="s">
        <v>83</v>
      </c>
      <c r="F901" s="761"/>
      <c r="H901" s="173"/>
      <c r="I901" s="764">
        <f>$G$70</f>
        <v>0.11565015966136639</v>
      </c>
      <c r="J901" s="765"/>
      <c r="K901" s="173" t="str">
        <f>"          INPUT PROJECTED ARR (WITH &amp; WITHOUT INCENTIVES) FROM EACH PRIOR YEAR"</f>
        <v xml:space="preserve">          INPUT PROJECTED ARR (WITH &amp; WITHOUT INCENTIVES) FROM EACH PRIOR YEAR</v>
      </c>
    </row>
    <row r="902" spans="2:15">
      <c r="C902" s="760" t="s">
        <v>84</v>
      </c>
      <c r="D902" s="766">
        <f>$G$79</f>
        <v>39</v>
      </c>
      <c r="E902" s="760" t="s">
        <v>85</v>
      </c>
      <c r="F902" s="761"/>
      <c r="H902" s="173"/>
      <c r="I902" s="764">
        <f>IF(G893="",I901,$G$69)</f>
        <v>0.11565015966136639</v>
      </c>
      <c r="J902" s="767"/>
      <c r="K902" s="173" t="s">
        <v>162</v>
      </c>
    </row>
    <row r="903" spans="2:15" ht="13.5" thickBot="1">
      <c r="C903" s="760" t="s">
        <v>86</v>
      </c>
      <c r="D903" s="803" t="s">
        <v>814</v>
      </c>
      <c r="E903" s="768" t="s">
        <v>87</v>
      </c>
      <c r="F903" s="769"/>
      <c r="G903" s="770"/>
      <c r="H903" s="770"/>
      <c r="I903" s="748">
        <f>IF(D899=0,0,D899/D902)</f>
        <v>216087.89743589744</v>
      </c>
      <c r="J903" s="726"/>
      <c r="K903" s="726" t="s">
        <v>168</v>
      </c>
      <c r="L903" s="726"/>
      <c r="M903" s="726"/>
      <c r="N903" s="726"/>
      <c r="O903" s="423"/>
    </row>
    <row r="904" spans="2:15" ht="51">
      <c r="B904" s="841"/>
      <c r="C904" s="771" t="s">
        <v>77</v>
      </c>
      <c r="D904" s="772" t="s">
        <v>88</v>
      </c>
      <c r="E904" s="773" t="s">
        <v>89</v>
      </c>
      <c r="F904" s="772" t="s">
        <v>90</v>
      </c>
      <c r="G904" s="773" t="s">
        <v>161</v>
      </c>
      <c r="H904" s="774" t="s">
        <v>161</v>
      </c>
      <c r="I904" s="771" t="s">
        <v>100</v>
      </c>
      <c r="J904" s="775"/>
      <c r="K904" s="773" t="s">
        <v>170</v>
      </c>
      <c r="L904" s="776"/>
      <c r="M904" s="773" t="s">
        <v>170</v>
      </c>
      <c r="N904" s="776"/>
      <c r="O904" s="776"/>
    </row>
    <row r="905" spans="2:15" ht="13.5" thickBot="1">
      <c r="C905" s="777" t="s">
        <v>477</v>
      </c>
      <c r="D905" s="778" t="s">
        <v>478</v>
      </c>
      <c r="E905" s="777" t="s">
        <v>371</v>
      </c>
      <c r="F905" s="778" t="s">
        <v>478</v>
      </c>
      <c r="G905" s="779" t="s">
        <v>103</v>
      </c>
      <c r="H905" s="780" t="s">
        <v>105</v>
      </c>
      <c r="I905" s="781" t="s">
        <v>17</v>
      </c>
      <c r="J905" s="782"/>
      <c r="K905" s="779" t="s">
        <v>92</v>
      </c>
      <c r="L905" s="783"/>
      <c r="M905" s="779" t="s">
        <v>105</v>
      </c>
      <c r="N905" s="783"/>
      <c r="O905" s="783"/>
    </row>
    <row r="906" spans="2:15">
      <c r="C906" s="784">
        <f>IF(D900= "","-",D900)</f>
        <v>2016</v>
      </c>
      <c r="D906" s="732">
        <f>+D899</f>
        <v>8427428</v>
      </c>
      <c r="E906" s="785">
        <f>+I903/12*(12-D901)</f>
        <v>108043.94871794872</v>
      </c>
      <c r="F906" s="732">
        <f>+D906-E906</f>
        <v>8319384.051282051</v>
      </c>
      <c r="G906" s="993">
        <f>+$I$96*((D906+F906)/2)+E906</f>
        <v>1076429.6924927807</v>
      </c>
      <c r="H906" s="994">
        <f>$I$97*((D906+F906)/2)+E906</f>
        <v>1076429.6924927807</v>
      </c>
      <c r="I906" s="788">
        <f>+H906-G906</f>
        <v>0</v>
      </c>
      <c r="J906" s="788"/>
      <c r="K906" s="1309" t="s">
        <v>416</v>
      </c>
      <c r="L906" s="789"/>
      <c r="M906" s="1309">
        <v>3283917</v>
      </c>
      <c r="N906" s="789"/>
      <c r="O906" s="789"/>
    </row>
    <row r="907" spans="2:15">
      <c r="C907" s="1327">
        <f>IF(D900="","-",+C906+1)</f>
        <v>2017</v>
      </c>
      <c r="D907" s="732">
        <f t="shared" ref="D907:D965" si="54">F906</f>
        <v>8319384.051282051</v>
      </c>
      <c r="E907" s="785">
        <f>IF(D907&gt;$I$903,$I$903,D907)</f>
        <v>216087.89743589744</v>
      </c>
      <c r="F907" s="732">
        <f t="shared" ref="F907:F965" si="55">+D907-E907</f>
        <v>8103296.153846154</v>
      </c>
      <c r="G907" s="790">
        <f t="shared" ref="G907:G965" si="56">+$I$96*((D907+F907)/2)+E907</f>
        <v>1165730.6913312166</v>
      </c>
      <c r="H907" s="791">
        <f t="shared" ref="H907:H965" si="57">$I$97*((D907+F907)/2)+E907</f>
        <v>1165730.6913312166</v>
      </c>
      <c r="I907" s="788">
        <f t="shared" ref="I907:I965" si="58">+H907-G907</f>
        <v>0</v>
      </c>
      <c r="J907" s="788"/>
      <c r="K907" s="1310" t="s">
        <v>416</v>
      </c>
      <c r="L907" s="792"/>
      <c r="M907" s="1310">
        <v>3670194</v>
      </c>
      <c r="N907" s="792"/>
      <c r="O907" s="792"/>
    </row>
    <row r="908" spans="2:15">
      <c r="C908" s="1327">
        <f>IF(D900="","-",+C907+1)</f>
        <v>2018</v>
      </c>
      <c r="D908" s="732">
        <f t="shared" si="54"/>
        <v>8103296.153846154</v>
      </c>
      <c r="E908" s="785">
        <f t="shared" ref="E908:E965" si="59">IF(D908&gt;$I$903,$I$903,D908)</f>
        <v>216087.89743589744</v>
      </c>
      <c r="F908" s="732">
        <f t="shared" si="55"/>
        <v>7887208.256410257</v>
      </c>
      <c r="G908" s="790">
        <f t="shared" si="56"/>
        <v>1140740.0914918662</v>
      </c>
      <c r="H908" s="791">
        <f t="shared" si="57"/>
        <v>1140740.0914918662</v>
      </c>
      <c r="I908" s="788">
        <f t="shared" si="58"/>
        <v>0</v>
      </c>
      <c r="J908" s="788"/>
      <c r="K908" s="1310"/>
      <c r="L908" s="792"/>
      <c r="M908" s="1310"/>
      <c r="N908" s="792"/>
      <c r="O908" s="792"/>
    </row>
    <row r="909" spans="2:15">
      <c r="C909" s="1304">
        <f>IF(D900="","-",+C908+1)</f>
        <v>2019</v>
      </c>
      <c r="D909" s="732">
        <f t="shared" si="54"/>
        <v>7887208.256410257</v>
      </c>
      <c r="E909" s="785">
        <f t="shared" si="59"/>
        <v>216087.89743589744</v>
      </c>
      <c r="F909" s="732">
        <f t="shared" si="55"/>
        <v>7671120.3589743599</v>
      </c>
      <c r="G909" s="790">
        <f t="shared" si="56"/>
        <v>1115749.4916525157</v>
      </c>
      <c r="H909" s="791">
        <f t="shared" si="57"/>
        <v>1115749.4916525157</v>
      </c>
      <c r="I909" s="788">
        <f t="shared" si="58"/>
        <v>0</v>
      </c>
      <c r="J909" s="788"/>
      <c r="K909" s="1310"/>
      <c r="L909" s="792"/>
      <c r="M909" s="1310"/>
      <c r="N909" s="792"/>
      <c r="O909" s="792"/>
    </row>
    <row r="910" spans="2:15">
      <c r="C910" s="1305">
        <f>IF(D900="","-",+C909+1)</f>
        <v>2020</v>
      </c>
      <c r="D910" s="732">
        <f t="shared" si="54"/>
        <v>7671120.3589743599</v>
      </c>
      <c r="E910" s="785">
        <f t="shared" si="59"/>
        <v>216087.89743589744</v>
      </c>
      <c r="F910" s="732">
        <f t="shared" si="55"/>
        <v>7455032.4615384629</v>
      </c>
      <c r="G910" s="790">
        <f t="shared" si="56"/>
        <v>1090758.8918131653</v>
      </c>
      <c r="H910" s="791">
        <f t="shared" si="57"/>
        <v>1090758.8918131653</v>
      </c>
      <c r="I910" s="788">
        <f t="shared" si="58"/>
        <v>0</v>
      </c>
      <c r="J910" s="788"/>
      <c r="K910" s="1310"/>
      <c r="L910" s="792"/>
      <c r="M910" s="1310"/>
      <c r="N910" s="792"/>
      <c r="O910" s="792"/>
    </row>
    <row r="911" spans="2:15">
      <c r="C911" s="1305">
        <f>IF(D900="","-",+C910+1)</f>
        <v>2021</v>
      </c>
      <c r="D911" s="732">
        <f t="shared" si="54"/>
        <v>7455032.4615384629</v>
      </c>
      <c r="E911" s="785">
        <f t="shared" si="59"/>
        <v>216087.89743589744</v>
      </c>
      <c r="F911" s="732">
        <f t="shared" si="55"/>
        <v>7238944.5641025659</v>
      </c>
      <c r="G911" s="790">
        <f t="shared" si="56"/>
        <v>1065768.2919738146</v>
      </c>
      <c r="H911" s="791">
        <f t="shared" si="57"/>
        <v>1065768.2919738146</v>
      </c>
      <c r="I911" s="788">
        <f t="shared" si="58"/>
        <v>0</v>
      </c>
      <c r="J911" s="788"/>
      <c r="K911" s="1310"/>
      <c r="L911" s="792"/>
      <c r="M911" s="1310"/>
      <c r="N911" s="792"/>
      <c r="O911" s="792"/>
    </row>
    <row r="912" spans="2:15">
      <c r="C912" s="784">
        <f>IF(D900="","-",+C911+1)</f>
        <v>2022</v>
      </c>
      <c r="D912" s="732">
        <f t="shared" si="54"/>
        <v>7238944.5641025659</v>
      </c>
      <c r="E912" s="785">
        <f t="shared" si="59"/>
        <v>216087.89743589744</v>
      </c>
      <c r="F912" s="732">
        <f t="shared" si="55"/>
        <v>7022856.6666666688</v>
      </c>
      <c r="G912" s="790">
        <f t="shared" si="56"/>
        <v>1040777.6921344644</v>
      </c>
      <c r="H912" s="791">
        <f t="shared" si="57"/>
        <v>1040777.6921344644</v>
      </c>
      <c r="I912" s="788">
        <f t="shared" si="58"/>
        <v>0</v>
      </c>
      <c r="J912" s="788"/>
      <c r="K912" s="1310"/>
      <c r="L912" s="792"/>
      <c r="M912" s="1310"/>
      <c r="N912" s="792"/>
      <c r="O912" s="792"/>
    </row>
    <row r="913" spans="3:15">
      <c r="C913" s="784">
        <f>IF(D900="","-",+C912+1)</f>
        <v>2023</v>
      </c>
      <c r="D913" s="732">
        <f t="shared" si="54"/>
        <v>7022856.6666666688</v>
      </c>
      <c r="E913" s="785">
        <f t="shared" si="59"/>
        <v>216087.89743589744</v>
      </c>
      <c r="F913" s="732">
        <f t="shared" si="55"/>
        <v>6806768.7692307718</v>
      </c>
      <c r="G913" s="790">
        <f t="shared" si="56"/>
        <v>1015787.0922951137</v>
      </c>
      <c r="H913" s="791">
        <f t="shared" si="57"/>
        <v>1015787.0922951137</v>
      </c>
      <c r="I913" s="788">
        <f t="shared" si="58"/>
        <v>0</v>
      </c>
      <c r="J913" s="788"/>
      <c r="K913" s="1310"/>
      <c r="L913" s="792"/>
      <c r="M913" s="1310"/>
      <c r="N913" s="792"/>
      <c r="O913" s="792"/>
    </row>
    <row r="914" spans="3:15">
      <c r="C914" s="784">
        <f>IF(D900="","-",+C913+1)</f>
        <v>2024</v>
      </c>
      <c r="D914" s="732">
        <f t="shared" si="54"/>
        <v>6806768.7692307718</v>
      </c>
      <c r="E914" s="785">
        <f t="shared" si="59"/>
        <v>216087.89743589744</v>
      </c>
      <c r="F914" s="732">
        <f t="shared" si="55"/>
        <v>6590680.8717948748</v>
      </c>
      <c r="G914" s="790">
        <f t="shared" si="56"/>
        <v>990796.49245576351</v>
      </c>
      <c r="H914" s="791">
        <f t="shared" si="57"/>
        <v>990796.49245576351</v>
      </c>
      <c r="I914" s="788">
        <f t="shared" si="58"/>
        <v>0</v>
      </c>
      <c r="J914" s="788"/>
      <c r="K914" s="1310"/>
      <c r="L914" s="792"/>
      <c r="M914" s="1310"/>
      <c r="N914" s="792"/>
      <c r="O914" s="792"/>
    </row>
    <row r="915" spans="3:15">
      <c r="C915" s="784">
        <f>IF(D900="","-",+C914+1)</f>
        <v>2025</v>
      </c>
      <c r="D915" s="732">
        <f t="shared" si="54"/>
        <v>6590680.8717948748</v>
      </c>
      <c r="E915" s="785">
        <f t="shared" si="59"/>
        <v>216087.89743589744</v>
      </c>
      <c r="F915" s="732">
        <f t="shared" si="55"/>
        <v>6374592.9743589777</v>
      </c>
      <c r="G915" s="790">
        <f t="shared" si="56"/>
        <v>965805.89261641284</v>
      </c>
      <c r="H915" s="791">
        <f t="shared" si="57"/>
        <v>965805.89261641284</v>
      </c>
      <c r="I915" s="788">
        <f t="shared" si="58"/>
        <v>0</v>
      </c>
      <c r="J915" s="788"/>
      <c r="K915" s="1310"/>
      <c r="L915" s="792"/>
      <c r="M915" s="1310"/>
      <c r="N915" s="792"/>
      <c r="O915" s="792"/>
    </row>
    <row r="916" spans="3:15">
      <c r="C916" s="784">
        <f>IF(D900="","-",+C915+1)</f>
        <v>2026</v>
      </c>
      <c r="D916" s="732">
        <f t="shared" si="54"/>
        <v>6374592.9743589777</v>
      </c>
      <c r="E916" s="785">
        <f t="shared" si="59"/>
        <v>216087.89743589744</v>
      </c>
      <c r="F916" s="732">
        <f t="shared" si="55"/>
        <v>6158505.0769230807</v>
      </c>
      <c r="G916" s="790">
        <f t="shared" si="56"/>
        <v>940815.29277706263</v>
      </c>
      <c r="H916" s="791">
        <f t="shared" si="57"/>
        <v>940815.29277706263</v>
      </c>
      <c r="I916" s="788">
        <f t="shared" si="58"/>
        <v>0</v>
      </c>
      <c r="J916" s="788"/>
      <c r="K916" s="1310"/>
      <c r="L916" s="792"/>
      <c r="M916" s="1310"/>
      <c r="N916" s="792"/>
      <c r="O916" s="792"/>
    </row>
    <row r="917" spans="3:15">
      <c r="C917" s="784">
        <f>IF(D900="","-",+C916+1)</f>
        <v>2027</v>
      </c>
      <c r="D917" s="732">
        <f t="shared" si="54"/>
        <v>6158505.0769230807</v>
      </c>
      <c r="E917" s="785">
        <f t="shared" si="59"/>
        <v>216087.89743589744</v>
      </c>
      <c r="F917" s="732">
        <f t="shared" si="55"/>
        <v>5942417.1794871837</v>
      </c>
      <c r="G917" s="790">
        <f t="shared" si="56"/>
        <v>915824.69293771195</v>
      </c>
      <c r="H917" s="791">
        <f t="shared" si="57"/>
        <v>915824.69293771195</v>
      </c>
      <c r="I917" s="788">
        <f t="shared" si="58"/>
        <v>0</v>
      </c>
      <c r="J917" s="788"/>
      <c r="K917" s="1310"/>
      <c r="L917" s="792"/>
      <c r="M917" s="1310"/>
      <c r="N917" s="792"/>
      <c r="O917" s="792"/>
    </row>
    <row r="918" spans="3:15">
      <c r="C918" s="784">
        <f>IF(D900="","-",+C917+1)</f>
        <v>2028</v>
      </c>
      <c r="D918" s="732">
        <f t="shared" si="54"/>
        <v>5942417.1794871837</v>
      </c>
      <c r="E918" s="785">
        <f t="shared" si="59"/>
        <v>216087.89743589744</v>
      </c>
      <c r="F918" s="732">
        <f t="shared" si="55"/>
        <v>5726329.2820512867</v>
      </c>
      <c r="G918" s="790">
        <f t="shared" si="56"/>
        <v>890834.09309836151</v>
      </c>
      <c r="H918" s="791">
        <f t="shared" si="57"/>
        <v>890834.09309836151</v>
      </c>
      <c r="I918" s="788">
        <f t="shared" si="58"/>
        <v>0</v>
      </c>
      <c r="J918" s="788"/>
      <c r="K918" s="1310"/>
      <c r="L918" s="792"/>
      <c r="M918" s="1310"/>
      <c r="N918" s="793"/>
      <c r="O918" s="792"/>
    </row>
    <row r="919" spans="3:15">
      <c r="C919" s="784">
        <f>IF(D900="","-",+C918+1)</f>
        <v>2029</v>
      </c>
      <c r="D919" s="732">
        <f t="shared" si="54"/>
        <v>5726329.2820512867</v>
      </c>
      <c r="E919" s="785">
        <f t="shared" si="59"/>
        <v>216087.89743589744</v>
      </c>
      <c r="F919" s="732">
        <f t="shared" si="55"/>
        <v>5510241.3846153896</v>
      </c>
      <c r="G919" s="790">
        <f t="shared" si="56"/>
        <v>865843.49325901107</v>
      </c>
      <c r="H919" s="791">
        <f t="shared" si="57"/>
        <v>865843.49325901107</v>
      </c>
      <c r="I919" s="788">
        <f t="shared" si="58"/>
        <v>0</v>
      </c>
      <c r="J919" s="788"/>
      <c r="K919" s="1310"/>
      <c r="L919" s="792"/>
      <c r="M919" s="1310"/>
      <c r="N919" s="792"/>
      <c r="O919" s="792"/>
    </row>
    <row r="920" spans="3:15">
      <c r="C920" s="784">
        <f>IF(D900="","-",+C919+1)</f>
        <v>2030</v>
      </c>
      <c r="D920" s="732">
        <f t="shared" si="54"/>
        <v>5510241.3846153896</v>
      </c>
      <c r="E920" s="785">
        <f t="shared" si="59"/>
        <v>216087.89743589744</v>
      </c>
      <c r="F920" s="732">
        <f t="shared" si="55"/>
        <v>5294153.4871794926</v>
      </c>
      <c r="G920" s="790">
        <f t="shared" si="56"/>
        <v>840852.89341966063</v>
      </c>
      <c r="H920" s="791">
        <f t="shared" si="57"/>
        <v>840852.89341966063</v>
      </c>
      <c r="I920" s="788">
        <f t="shared" si="58"/>
        <v>0</v>
      </c>
      <c r="J920" s="788"/>
      <c r="K920" s="1310"/>
      <c r="L920" s="792"/>
      <c r="M920" s="1310"/>
      <c r="N920" s="792"/>
      <c r="O920" s="792"/>
    </row>
    <row r="921" spans="3:15">
      <c r="C921" s="784">
        <f>IF(D900="","-",+C920+1)</f>
        <v>2031</v>
      </c>
      <c r="D921" s="732">
        <f t="shared" si="54"/>
        <v>5294153.4871794926</v>
      </c>
      <c r="E921" s="785">
        <f t="shared" si="59"/>
        <v>216087.89743589744</v>
      </c>
      <c r="F921" s="732">
        <f t="shared" si="55"/>
        <v>5078065.5897435956</v>
      </c>
      <c r="G921" s="790">
        <f t="shared" si="56"/>
        <v>815862.29358031019</v>
      </c>
      <c r="H921" s="791">
        <f t="shared" si="57"/>
        <v>815862.29358031019</v>
      </c>
      <c r="I921" s="788">
        <f t="shared" si="58"/>
        <v>0</v>
      </c>
      <c r="J921" s="788"/>
      <c r="K921" s="1310"/>
      <c r="L921" s="792"/>
      <c r="M921" s="1310"/>
      <c r="N921" s="792"/>
      <c r="O921" s="792"/>
    </row>
    <row r="922" spans="3:15">
      <c r="C922" s="784">
        <f>IF(D900="","-",+C921+1)</f>
        <v>2032</v>
      </c>
      <c r="D922" s="732">
        <f t="shared" si="54"/>
        <v>5078065.5897435956</v>
      </c>
      <c r="E922" s="785">
        <f t="shared" si="59"/>
        <v>216087.89743589744</v>
      </c>
      <c r="F922" s="732">
        <f t="shared" si="55"/>
        <v>4861977.6923076985</v>
      </c>
      <c r="G922" s="790">
        <f t="shared" si="56"/>
        <v>790871.69374095974</v>
      </c>
      <c r="H922" s="791">
        <f t="shared" si="57"/>
        <v>790871.69374095974</v>
      </c>
      <c r="I922" s="788">
        <f t="shared" si="58"/>
        <v>0</v>
      </c>
      <c r="J922" s="788"/>
      <c r="K922" s="1310"/>
      <c r="L922" s="792"/>
      <c r="M922" s="1310"/>
      <c r="N922" s="792"/>
      <c r="O922" s="792"/>
    </row>
    <row r="923" spans="3:15">
      <c r="C923" s="784">
        <f>IF(D900="","-",+C922+1)</f>
        <v>2033</v>
      </c>
      <c r="D923" s="732">
        <f t="shared" si="54"/>
        <v>4861977.6923076985</v>
      </c>
      <c r="E923" s="785">
        <f t="shared" si="59"/>
        <v>216087.89743589744</v>
      </c>
      <c r="F923" s="732">
        <f t="shared" si="55"/>
        <v>4645889.7948718015</v>
      </c>
      <c r="G923" s="790">
        <f t="shared" si="56"/>
        <v>765881.0939016093</v>
      </c>
      <c r="H923" s="791">
        <f t="shared" si="57"/>
        <v>765881.0939016093</v>
      </c>
      <c r="I923" s="788">
        <f t="shared" si="58"/>
        <v>0</v>
      </c>
      <c r="J923" s="788"/>
      <c r="K923" s="1310"/>
      <c r="L923" s="792"/>
      <c r="M923" s="1310"/>
      <c r="N923" s="792"/>
      <c r="O923" s="792"/>
    </row>
    <row r="924" spans="3:15">
      <c r="C924" s="784">
        <f>IF(D900="","-",+C923+1)</f>
        <v>2034</v>
      </c>
      <c r="D924" s="732">
        <f t="shared" si="54"/>
        <v>4645889.7948718015</v>
      </c>
      <c r="E924" s="785">
        <f t="shared" si="59"/>
        <v>216087.89743589744</v>
      </c>
      <c r="F924" s="732">
        <f t="shared" si="55"/>
        <v>4429801.8974359045</v>
      </c>
      <c r="G924" s="790">
        <f t="shared" si="56"/>
        <v>740890.49406225886</v>
      </c>
      <c r="H924" s="791">
        <f t="shared" si="57"/>
        <v>740890.49406225886</v>
      </c>
      <c r="I924" s="788">
        <f t="shared" si="58"/>
        <v>0</v>
      </c>
      <c r="J924" s="788"/>
      <c r="K924" s="1310"/>
      <c r="L924" s="792"/>
      <c r="M924" s="1310"/>
      <c r="N924" s="792"/>
      <c r="O924" s="792"/>
    </row>
    <row r="925" spans="3:15">
      <c r="C925" s="784">
        <f>IF(D900="","-",+C924+1)</f>
        <v>2035</v>
      </c>
      <c r="D925" s="732">
        <f t="shared" si="54"/>
        <v>4429801.8974359045</v>
      </c>
      <c r="E925" s="785">
        <f t="shared" si="59"/>
        <v>216087.89743589744</v>
      </c>
      <c r="F925" s="732">
        <f t="shared" si="55"/>
        <v>4213714.0000000075</v>
      </c>
      <c r="G925" s="790">
        <f t="shared" si="56"/>
        <v>715899.8942229083</v>
      </c>
      <c r="H925" s="791">
        <f t="shared" si="57"/>
        <v>715899.8942229083</v>
      </c>
      <c r="I925" s="788">
        <f t="shared" si="58"/>
        <v>0</v>
      </c>
      <c r="J925" s="788"/>
      <c r="K925" s="1310"/>
      <c r="L925" s="792"/>
      <c r="M925" s="1310"/>
      <c r="N925" s="792"/>
      <c r="O925" s="792"/>
    </row>
    <row r="926" spans="3:15">
      <c r="C926" s="784">
        <f>IF(D900="","-",+C925+1)</f>
        <v>2036</v>
      </c>
      <c r="D926" s="732">
        <f t="shared" si="54"/>
        <v>4213714.0000000075</v>
      </c>
      <c r="E926" s="785">
        <f t="shared" si="59"/>
        <v>216087.89743589744</v>
      </c>
      <c r="F926" s="732">
        <f t="shared" si="55"/>
        <v>3997626.10256411</v>
      </c>
      <c r="G926" s="790">
        <f t="shared" si="56"/>
        <v>690909.29438355786</v>
      </c>
      <c r="H926" s="791">
        <f t="shared" si="57"/>
        <v>690909.29438355786</v>
      </c>
      <c r="I926" s="788">
        <f t="shared" si="58"/>
        <v>0</v>
      </c>
      <c r="J926" s="788"/>
      <c r="K926" s="1310"/>
      <c r="L926" s="792"/>
      <c r="M926" s="1310"/>
      <c r="N926" s="792"/>
      <c r="O926" s="792"/>
    </row>
    <row r="927" spans="3:15">
      <c r="C927" s="784">
        <f>IF(D900="","-",+C926+1)</f>
        <v>2037</v>
      </c>
      <c r="D927" s="732">
        <f t="shared" si="54"/>
        <v>3997626.10256411</v>
      </c>
      <c r="E927" s="785">
        <f t="shared" si="59"/>
        <v>216087.89743589744</v>
      </c>
      <c r="F927" s="732">
        <f t="shared" si="55"/>
        <v>3781538.2051282125</v>
      </c>
      <c r="G927" s="790">
        <f t="shared" si="56"/>
        <v>665918.69454420742</v>
      </c>
      <c r="H927" s="791">
        <f t="shared" si="57"/>
        <v>665918.69454420742</v>
      </c>
      <c r="I927" s="788">
        <f t="shared" si="58"/>
        <v>0</v>
      </c>
      <c r="J927" s="788"/>
      <c r="K927" s="1310"/>
      <c r="L927" s="792"/>
      <c r="M927" s="1310"/>
      <c r="N927" s="792"/>
      <c r="O927" s="792"/>
    </row>
    <row r="928" spans="3:15">
      <c r="C928" s="784">
        <f>IF(D900="","-",+C927+1)</f>
        <v>2038</v>
      </c>
      <c r="D928" s="732">
        <f t="shared" si="54"/>
        <v>3781538.2051282125</v>
      </c>
      <c r="E928" s="785">
        <f t="shared" si="59"/>
        <v>216087.89743589744</v>
      </c>
      <c r="F928" s="732">
        <f t="shared" si="55"/>
        <v>3565450.307692315</v>
      </c>
      <c r="G928" s="790">
        <f t="shared" si="56"/>
        <v>640928.09470485686</v>
      </c>
      <c r="H928" s="791">
        <f t="shared" si="57"/>
        <v>640928.09470485686</v>
      </c>
      <c r="I928" s="788">
        <f t="shared" si="58"/>
        <v>0</v>
      </c>
      <c r="J928" s="788"/>
      <c r="K928" s="1310"/>
      <c r="L928" s="792"/>
      <c r="M928" s="1310"/>
      <c r="N928" s="792"/>
      <c r="O928" s="792"/>
    </row>
    <row r="929" spans="3:15">
      <c r="C929" s="784">
        <f>IF(D900="","-",+C928+1)</f>
        <v>2039</v>
      </c>
      <c r="D929" s="732">
        <f t="shared" si="54"/>
        <v>3565450.307692315</v>
      </c>
      <c r="E929" s="785">
        <f t="shared" si="59"/>
        <v>216087.89743589744</v>
      </c>
      <c r="F929" s="732">
        <f t="shared" si="55"/>
        <v>3349362.4102564175</v>
      </c>
      <c r="G929" s="790">
        <f t="shared" si="56"/>
        <v>615937.49486550642</v>
      </c>
      <c r="H929" s="791">
        <f t="shared" si="57"/>
        <v>615937.49486550642</v>
      </c>
      <c r="I929" s="788">
        <f t="shared" si="58"/>
        <v>0</v>
      </c>
      <c r="J929" s="788"/>
      <c r="K929" s="1310"/>
      <c r="L929" s="792"/>
      <c r="M929" s="1310"/>
      <c r="N929" s="792"/>
      <c r="O929" s="792"/>
    </row>
    <row r="930" spans="3:15">
      <c r="C930" s="784">
        <f>IF(D900="","-",+C929+1)</f>
        <v>2040</v>
      </c>
      <c r="D930" s="732">
        <f t="shared" si="54"/>
        <v>3349362.4102564175</v>
      </c>
      <c r="E930" s="785">
        <f t="shared" si="59"/>
        <v>216087.89743589744</v>
      </c>
      <c r="F930" s="732">
        <f t="shared" si="55"/>
        <v>3133274.51282052</v>
      </c>
      <c r="G930" s="790">
        <f t="shared" si="56"/>
        <v>590946.89502615575</v>
      </c>
      <c r="H930" s="791">
        <f t="shared" si="57"/>
        <v>590946.89502615575</v>
      </c>
      <c r="I930" s="788">
        <f t="shared" si="58"/>
        <v>0</v>
      </c>
      <c r="J930" s="788"/>
      <c r="K930" s="1310"/>
      <c r="L930" s="792"/>
      <c r="M930" s="1310"/>
      <c r="N930" s="792"/>
      <c r="O930" s="792"/>
    </row>
    <row r="931" spans="3:15">
      <c r="C931" s="784">
        <f>IF(D900="","-",+C930+1)</f>
        <v>2041</v>
      </c>
      <c r="D931" s="732">
        <f t="shared" si="54"/>
        <v>3133274.51282052</v>
      </c>
      <c r="E931" s="785">
        <f t="shared" si="59"/>
        <v>216087.89743589744</v>
      </c>
      <c r="F931" s="732">
        <f t="shared" si="55"/>
        <v>2917186.6153846225</v>
      </c>
      <c r="G931" s="790">
        <f t="shared" si="56"/>
        <v>565956.29518680531</v>
      </c>
      <c r="H931" s="791">
        <f t="shared" si="57"/>
        <v>565956.29518680531</v>
      </c>
      <c r="I931" s="788">
        <f t="shared" si="58"/>
        <v>0</v>
      </c>
      <c r="J931" s="788"/>
      <c r="K931" s="1310"/>
      <c r="L931" s="792"/>
      <c r="M931" s="1310"/>
      <c r="N931" s="792"/>
      <c r="O931" s="792"/>
    </row>
    <row r="932" spans="3:15">
      <c r="C932" s="784">
        <f>IF(D900="","-",+C931+1)</f>
        <v>2042</v>
      </c>
      <c r="D932" s="732">
        <f t="shared" si="54"/>
        <v>2917186.6153846225</v>
      </c>
      <c r="E932" s="785">
        <f t="shared" si="59"/>
        <v>216087.89743589744</v>
      </c>
      <c r="F932" s="732">
        <f t="shared" si="55"/>
        <v>2701098.717948725</v>
      </c>
      <c r="G932" s="790">
        <f t="shared" si="56"/>
        <v>540965.69534745486</v>
      </c>
      <c r="H932" s="791">
        <f t="shared" si="57"/>
        <v>540965.69534745486</v>
      </c>
      <c r="I932" s="788">
        <f t="shared" si="58"/>
        <v>0</v>
      </c>
      <c r="J932" s="788"/>
      <c r="K932" s="1310"/>
      <c r="L932" s="792"/>
      <c r="M932" s="1310"/>
      <c r="N932" s="792"/>
      <c r="O932" s="792"/>
    </row>
    <row r="933" spans="3:15">
      <c r="C933" s="784">
        <f>IF(D900="","-",+C932+1)</f>
        <v>2043</v>
      </c>
      <c r="D933" s="732">
        <f t="shared" si="54"/>
        <v>2701098.717948725</v>
      </c>
      <c r="E933" s="785">
        <f t="shared" si="59"/>
        <v>216087.89743589744</v>
      </c>
      <c r="F933" s="732">
        <f t="shared" si="55"/>
        <v>2485010.8205128275</v>
      </c>
      <c r="G933" s="790">
        <f t="shared" si="56"/>
        <v>515975.09550810431</v>
      </c>
      <c r="H933" s="791">
        <f t="shared" si="57"/>
        <v>515975.09550810431</v>
      </c>
      <c r="I933" s="788">
        <f t="shared" si="58"/>
        <v>0</v>
      </c>
      <c r="J933" s="788"/>
      <c r="K933" s="1310"/>
      <c r="L933" s="792"/>
      <c r="M933" s="1310"/>
      <c r="N933" s="792"/>
      <c r="O933" s="792"/>
    </row>
    <row r="934" spans="3:15">
      <c r="C934" s="784">
        <f>IF(D900="","-",+C933+1)</f>
        <v>2044</v>
      </c>
      <c r="D934" s="732">
        <f t="shared" si="54"/>
        <v>2485010.8205128275</v>
      </c>
      <c r="E934" s="785">
        <f t="shared" si="59"/>
        <v>216087.89743589744</v>
      </c>
      <c r="F934" s="732">
        <f t="shared" si="55"/>
        <v>2268922.92307693</v>
      </c>
      <c r="G934" s="786">
        <f t="shared" si="56"/>
        <v>490984.49566875375</v>
      </c>
      <c r="H934" s="791">
        <f t="shared" si="57"/>
        <v>490984.49566875375</v>
      </c>
      <c r="I934" s="788">
        <f t="shared" si="58"/>
        <v>0</v>
      </c>
      <c r="J934" s="788"/>
      <c r="K934" s="1310"/>
      <c r="L934" s="792"/>
      <c r="M934" s="1310"/>
      <c r="N934" s="792"/>
      <c r="O934" s="792"/>
    </row>
    <row r="935" spans="3:15">
      <c r="C935" s="784">
        <f>IF(D900="","-",+C934+1)</f>
        <v>2045</v>
      </c>
      <c r="D935" s="732">
        <f t="shared" si="54"/>
        <v>2268922.92307693</v>
      </c>
      <c r="E935" s="785">
        <f t="shared" si="59"/>
        <v>216087.89743589744</v>
      </c>
      <c r="F935" s="732">
        <f t="shared" si="55"/>
        <v>2052835.0256410325</v>
      </c>
      <c r="G935" s="790">
        <f t="shared" si="56"/>
        <v>465993.89582940331</v>
      </c>
      <c r="H935" s="791">
        <f t="shared" si="57"/>
        <v>465993.89582940331</v>
      </c>
      <c r="I935" s="788">
        <f t="shared" si="58"/>
        <v>0</v>
      </c>
      <c r="J935" s="788"/>
      <c r="K935" s="1310"/>
      <c r="L935" s="792"/>
      <c r="M935" s="1310"/>
      <c r="N935" s="792"/>
      <c r="O935" s="792"/>
    </row>
    <row r="936" spans="3:15">
      <c r="C936" s="784">
        <f>IF(D900="","-",+C935+1)</f>
        <v>2046</v>
      </c>
      <c r="D936" s="732">
        <f t="shared" si="54"/>
        <v>2052835.0256410325</v>
      </c>
      <c r="E936" s="785">
        <f t="shared" si="59"/>
        <v>216087.89743589744</v>
      </c>
      <c r="F936" s="732">
        <f t="shared" si="55"/>
        <v>1836747.128205135</v>
      </c>
      <c r="G936" s="790">
        <f t="shared" si="56"/>
        <v>441003.29599005275</v>
      </c>
      <c r="H936" s="791">
        <f t="shared" si="57"/>
        <v>441003.29599005275</v>
      </c>
      <c r="I936" s="788">
        <f t="shared" si="58"/>
        <v>0</v>
      </c>
      <c r="J936" s="788"/>
      <c r="K936" s="1310"/>
      <c r="L936" s="792"/>
      <c r="M936" s="1310"/>
      <c r="N936" s="792"/>
      <c r="O936" s="792"/>
    </row>
    <row r="937" spans="3:15">
      <c r="C937" s="784">
        <f>IF(D900="","-",+C936+1)</f>
        <v>2047</v>
      </c>
      <c r="D937" s="732">
        <f t="shared" si="54"/>
        <v>1836747.128205135</v>
      </c>
      <c r="E937" s="785">
        <f t="shared" si="59"/>
        <v>216087.89743589744</v>
      </c>
      <c r="F937" s="732">
        <f t="shared" si="55"/>
        <v>1620659.2307692375</v>
      </c>
      <c r="G937" s="790">
        <f t="shared" si="56"/>
        <v>416012.69615070225</v>
      </c>
      <c r="H937" s="791">
        <f t="shared" si="57"/>
        <v>416012.69615070225</v>
      </c>
      <c r="I937" s="788">
        <f t="shared" si="58"/>
        <v>0</v>
      </c>
      <c r="J937" s="788"/>
      <c r="K937" s="1310"/>
      <c r="L937" s="792"/>
      <c r="M937" s="1310"/>
      <c r="N937" s="792"/>
      <c r="O937" s="792"/>
    </row>
    <row r="938" spans="3:15">
      <c r="C938" s="784">
        <f>IF(D900="","-",+C937+1)</f>
        <v>2048</v>
      </c>
      <c r="D938" s="732">
        <f t="shared" si="54"/>
        <v>1620659.2307692375</v>
      </c>
      <c r="E938" s="785">
        <f t="shared" si="59"/>
        <v>216087.89743589744</v>
      </c>
      <c r="F938" s="732">
        <f t="shared" si="55"/>
        <v>1404571.33333334</v>
      </c>
      <c r="G938" s="790">
        <f t="shared" si="56"/>
        <v>391022.09631135175</v>
      </c>
      <c r="H938" s="791">
        <f t="shared" si="57"/>
        <v>391022.09631135175</v>
      </c>
      <c r="I938" s="788">
        <f t="shared" si="58"/>
        <v>0</v>
      </c>
      <c r="J938" s="788"/>
      <c r="K938" s="1310"/>
      <c r="L938" s="792"/>
      <c r="M938" s="1310"/>
      <c r="N938" s="792"/>
      <c r="O938" s="792"/>
    </row>
    <row r="939" spans="3:15">
      <c r="C939" s="784">
        <f>IF(D900="","-",+C938+1)</f>
        <v>2049</v>
      </c>
      <c r="D939" s="732">
        <f t="shared" si="54"/>
        <v>1404571.33333334</v>
      </c>
      <c r="E939" s="785">
        <f t="shared" si="59"/>
        <v>216087.89743589744</v>
      </c>
      <c r="F939" s="732">
        <f t="shared" si="55"/>
        <v>1188483.4358974425</v>
      </c>
      <c r="G939" s="790">
        <f t="shared" si="56"/>
        <v>366031.49647200119</v>
      </c>
      <c r="H939" s="791">
        <f t="shared" si="57"/>
        <v>366031.49647200119</v>
      </c>
      <c r="I939" s="788">
        <f t="shared" si="58"/>
        <v>0</v>
      </c>
      <c r="J939" s="788"/>
      <c r="K939" s="1310"/>
      <c r="L939" s="792"/>
      <c r="M939" s="1310"/>
      <c r="N939" s="792"/>
      <c r="O939" s="792"/>
    </row>
    <row r="940" spans="3:15">
      <c r="C940" s="784">
        <f>IF(D900="","-",+C939+1)</f>
        <v>2050</v>
      </c>
      <c r="D940" s="732">
        <f t="shared" si="54"/>
        <v>1188483.4358974425</v>
      </c>
      <c r="E940" s="785">
        <f t="shared" si="59"/>
        <v>216087.89743589744</v>
      </c>
      <c r="F940" s="732">
        <f t="shared" si="55"/>
        <v>972395.53846154502</v>
      </c>
      <c r="G940" s="790">
        <f t="shared" si="56"/>
        <v>341040.89663265075</v>
      </c>
      <c r="H940" s="791">
        <f t="shared" si="57"/>
        <v>341040.89663265075</v>
      </c>
      <c r="I940" s="788">
        <f t="shared" si="58"/>
        <v>0</v>
      </c>
      <c r="J940" s="788"/>
      <c r="K940" s="1310"/>
      <c r="L940" s="792"/>
      <c r="M940" s="1310"/>
      <c r="N940" s="792"/>
      <c r="O940" s="792"/>
    </row>
    <row r="941" spans="3:15">
      <c r="C941" s="784">
        <f>IF(D900="","-",+C940+1)</f>
        <v>2051</v>
      </c>
      <c r="D941" s="732">
        <f t="shared" si="54"/>
        <v>972395.53846154502</v>
      </c>
      <c r="E941" s="785">
        <f t="shared" si="59"/>
        <v>216087.89743589744</v>
      </c>
      <c r="F941" s="732">
        <f t="shared" si="55"/>
        <v>756307.64102564752</v>
      </c>
      <c r="G941" s="790">
        <f t="shared" si="56"/>
        <v>316050.29679330019</v>
      </c>
      <c r="H941" s="791">
        <f t="shared" si="57"/>
        <v>316050.29679330019</v>
      </c>
      <c r="I941" s="788">
        <f t="shared" si="58"/>
        <v>0</v>
      </c>
      <c r="J941" s="788"/>
      <c r="K941" s="1310"/>
      <c r="L941" s="792"/>
      <c r="M941" s="1310"/>
      <c r="N941" s="792"/>
      <c r="O941" s="792"/>
    </row>
    <row r="942" spans="3:15">
      <c r="C942" s="784">
        <f>IF(D900="","-",+C941+1)</f>
        <v>2052</v>
      </c>
      <c r="D942" s="732">
        <f t="shared" si="54"/>
        <v>756307.64102564752</v>
      </c>
      <c r="E942" s="785">
        <f t="shared" si="59"/>
        <v>216087.89743589744</v>
      </c>
      <c r="F942" s="732">
        <f t="shared" si="55"/>
        <v>540219.74358975003</v>
      </c>
      <c r="G942" s="790">
        <f t="shared" si="56"/>
        <v>291059.69695394969</v>
      </c>
      <c r="H942" s="791">
        <f t="shared" si="57"/>
        <v>291059.69695394969</v>
      </c>
      <c r="I942" s="788">
        <f t="shared" si="58"/>
        <v>0</v>
      </c>
      <c r="J942" s="788"/>
      <c r="K942" s="1310"/>
      <c r="L942" s="792"/>
      <c r="M942" s="1310"/>
      <c r="N942" s="792"/>
      <c r="O942" s="792"/>
    </row>
    <row r="943" spans="3:15">
      <c r="C943" s="784">
        <f>IF(D900="","-",+C942+1)</f>
        <v>2053</v>
      </c>
      <c r="D943" s="732">
        <f t="shared" si="54"/>
        <v>540219.74358975003</v>
      </c>
      <c r="E943" s="785">
        <f t="shared" si="59"/>
        <v>216087.89743589744</v>
      </c>
      <c r="F943" s="732">
        <f t="shared" si="55"/>
        <v>324131.84615385259</v>
      </c>
      <c r="G943" s="790">
        <f t="shared" si="56"/>
        <v>266069.09711459919</v>
      </c>
      <c r="H943" s="791">
        <f t="shared" si="57"/>
        <v>266069.09711459919</v>
      </c>
      <c r="I943" s="788">
        <f t="shared" si="58"/>
        <v>0</v>
      </c>
      <c r="J943" s="788"/>
      <c r="K943" s="1310"/>
      <c r="L943" s="792"/>
      <c r="M943" s="1310"/>
      <c r="N943" s="792"/>
      <c r="O943" s="792"/>
    </row>
    <row r="944" spans="3:15">
      <c r="C944" s="784">
        <f>IF(D900="","-",+C943+1)</f>
        <v>2054</v>
      </c>
      <c r="D944" s="732">
        <f t="shared" si="54"/>
        <v>324131.84615385259</v>
      </c>
      <c r="E944" s="785">
        <f t="shared" si="59"/>
        <v>216087.89743589744</v>
      </c>
      <c r="F944" s="732">
        <f t="shared" si="55"/>
        <v>108043.94871795515</v>
      </c>
      <c r="G944" s="790">
        <f t="shared" si="56"/>
        <v>241078.49727524869</v>
      </c>
      <c r="H944" s="791">
        <f t="shared" si="57"/>
        <v>241078.49727524869</v>
      </c>
      <c r="I944" s="788">
        <f t="shared" si="58"/>
        <v>0</v>
      </c>
      <c r="J944" s="788"/>
      <c r="K944" s="1310"/>
      <c r="L944" s="792"/>
      <c r="M944" s="1310"/>
      <c r="N944" s="792"/>
      <c r="O944" s="792"/>
    </row>
    <row r="945" spans="3:15">
      <c r="C945" s="784">
        <f>IF(D900="","-",+C944+1)</f>
        <v>2055</v>
      </c>
      <c r="D945" s="732">
        <f t="shared" si="54"/>
        <v>108043.94871795515</v>
      </c>
      <c r="E945" s="785">
        <f t="shared" si="59"/>
        <v>108043.94871795515</v>
      </c>
      <c r="F945" s="732">
        <f t="shared" si="55"/>
        <v>0</v>
      </c>
      <c r="G945" s="790">
        <f t="shared" si="56"/>
        <v>114291.59867779315</v>
      </c>
      <c r="H945" s="791">
        <f t="shared" si="57"/>
        <v>114291.59867779315</v>
      </c>
      <c r="I945" s="788">
        <f t="shared" si="58"/>
        <v>0</v>
      </c>
      <c r="J945" s="788"/>
      <c r="K945" s="1310"/>
      <c r="L945" s="792"/>
      <c r="M945" s="1310"/>
      <c r="N945" s="792"/>
      <c r="O945" s="792"/>
    </row>
    <row r="946" spans="3:15">
      <c r="C946" s="784">
        <f>IF(D900="","-",+C945+1)</f>
        <v>2056</v>
      </c>
      <c r="D946" s="732">
        <f t="shared" si="54"/>
        <v>0</v>
      </c>
      <c r="E946" s="785">
        <f t="shared" si="59"/>
        <v>0</v>
      </c>
      <c r="F946" s="732">
        <f t="shared" si="55"/>
        <v>0</v>
      </c>
      <c r="G946" s="790">
        <f t="shared" si="56"/>
        <v>0</v>
      </c>
      <c r="H946" s="791">
        <f t="shared" si="57"/>
        <v>0</v>
      </c>
      <c r="I946" s="788">
        <f t="shared" si="58"/>
        <v>0</v>
      </c>
      <c r="J946" s="788"/>
      <c r="K946" s="1310"/>
      <c r="L946" s="792"/>
      <c r="M946" s="1310"/>
      <c r="N946" s="792"/>
      <c r="O946" s="792"/>
    </row>
    <row r="947" spans="3:15">
      <c r="C947" s="784">
        <f>IF(D900="","-",+C946+1)</f>
        <v>2057</v>
      </c>
      <c r="D947" s="732">
        <f t="shared" si="54"/>
        <v>0</v>
      </c>
      <c r="E947" s="785">
        <f t="shared" si="59"/>
        <v>0</v>
      </c>
      <c r="F947" s="732">
        <f t="shared" si="55"/>
        <v>0</v>
      </c>
      <c r="G947" s="790">
        <f t="shared" si="56"/>
        <v>0</v>
      </c>
      <c r="H947" s="791">
        <f t="shared" si="57"/>
        <v>0</v>
      </c>
      <c r="I947" s="788">
        <f t="shared" si="58"/>
        <v>0</v>
      </c>
      <c r="J947" s="788"/>
      <c r="K947" s="1310"/>
      <c r="L947" s="792"/>
      <c r="M947" s="1310"/>
      <c r="N947" s="792"/>
      <c r="O947" s="792"/>
    </row>
    <row r="948" spans="3:15">
      <c r="C948" s="784">
        <f>IF(D900="","-",+C947+1)</f>
        <v>2058</v>
      </c>
      <c r="D948" s="732">
        <f t="shared" si="54"/>
        <v>0</v>
      </c>
      <c r="E948" s="785">
        <f t="shared" si="59"/>
        <v>0</v>
      </c>
      <c r="F948" s="732">
        <f t="shared" si="55"/>
        <v>0</v>
      </c>
      <c r="G948" s="790">
        <f t="shared" si="56"/>
        <v>0</v>
      </c>
      <c r="H948" s="791">
        <f t="shared" si="57"/>
        <v>0</v>
      </c>
      <c r="I948" s="788">
        <f t="shared" si="58"/>
        <v>0</v>
      </c>
      <c r="J948" s="788"/>
      <c r="K948" s="1310"/>
      <c r="L948" s="792"/>
      <c r="M948" s="1310"/>
      <c r="N948" s="792"/>
      <c r="O948" s="792"/>
    </row>
    <row r="949" spans="3:15">
      <c r="C949" s="784">
        <f>IF(D900="","-",+C948+1)</f>
        <v>2059</v>
      </c>
      <c r="D949" s="732">
        <f t="shared" si="54"/>
        <v>0</v>
      </c>
      <c r="E949" s="785">
        <f t="shared" si="59"/>
        <v>0</v>
      </c>
      <c r="F949" s="732">
        <f t="shared" si="55"/>
        <v>0</v>
      </c>
      <c r="G949" s="790">
        <f t="shared" si="56"/>
        <v>0</v>
      </c>
      <c r="H949" s="791">
        <f t="shared" si="57"/>
        <v>0</v>
      </c>
      <c r="I949" s="788">
        <f t="shared" si="58"/>
        <v>0</v>
      </c>
      <c r="J949" s="788"/>
      <c r="K949" s="1310"/>
      <c r="L949" s="792"/>
      <c r="M949" s="1310"/>
      <c r="N949" s="792"/>
      <c r="O949" s="792"/>
    </row>
    <row r="950" spans="3:15">
      <c r="C950" s="784">
        <f>IF(D900="","-",+C949+1)</f>
        <v>2060</v>
      </c>
      <c r="D950" s="732">
        <f t="shared" si="54"/>
        <v>0</v>
      </c>
      <c r="E950" s="785">
        <f t="shared" si="59"/>
        <v>0</v>
      </c>
      <c r="F950" s="732">
        <f t="shared" si="55"/>
        <v>0</v>
      </c>
      <c r="G950" s="790">
        <f t="shared" si="56"/>
        <v>0</v>
      </c>
      <c r="H950" s="791">
        <f t="shared" si="57"/>
        <v>0</v>
      </c>
      <c r="I950" s="788">
        <f t="shared" si="58"/>
        <v>0</v>
      </c>
      <c r="J950" s="788"/>
      <c r="K950" s="1310"/>
      <c r="L950" s="792"/>
      <c r="M950" s="1310"/>
      <c r="N950" s="792"/>
      <c r="O950" s="792"/>
    </row>
    <row r="951" spans="3:15">
      <c r="C951" s="784">
        <f>IF(D900="","-",+C950+1)</f>
        <v>2061</v>
      </c>
      <c r="D951" s="732">
        <f t="shared" si="54"/>
        <v>0</v>
      </c>
      <c r="E951" s="785">
        <f t="shared" si="59"/>
        <v>0</v>
      </c>
      <c r="F951" s="732">
        <f t="shared" si="55"/>
        <v>0</v>
      </c>
      <c r="G951" s="790">
        <f t="shared" si="56"/>
        <v>0</v>
      </c>
      <c r="H951" s="791">
        <f t="shared" si="57"/>
        <v>0</v>
      </c>
      <c r="I951" s="788">
        <f t="shared" si="58"/>
        <v>0</v>
      </c>
      <c r="J951" s="788"/>
      <c r="K951" s="1310"/>
      <c r="L951" s="792"/>
      <c r="M951" s="1310"/>
      <c r="N951" s="792"/>
      <c r="O951" s="792"/>
    </row>
    <row r="952" spans="3:15">
      <c r="C952" s="784">
        <f>IF(D900="","-",+C951+1)</f>
        <v>2062</v>
      </c>
      <c r="D952" s="732">
        <f t="shared" si="54"/>
        <v>0</v>
      </c>
      <c r="E952" s="785">
        <f t="shared" si="59"/>
        <v>0</v>
      </c>
      <c r="F952" s="732">
        <f t="shared" si="55"/>
        <v>0</v>
      </c>
      <c r="G952" s="790">
        <f t="shared" si="56"/>
        <v>0</v>
      </c>
      <c r="H952" s="791">
        <f t="shared" si="57"/>
        <v>0</v>
      </c>
      <c r="I952" s="788">
        <f t="shared" si="58"/>
        <v>0</v>
      </c>
      <c r="J952" s="788"/>
      <c r="K952" s="1310"/>
      <c r="L952" s="792"/>
      <c r="M952" s="1310"/>
      <c r="N952" s="792"/>
      <c r="O952" s="792"/>
    </row>
    <row r="953" spans="3:15">
      <c r="C953" s="784">
        <f>IF(D900="","-",+C952+1)</f>
        <v>2063</v>
      </c>
      <c r="D953" s="732">
        <f t="shared" si="54"/>
        <v>0</v>
      </c>
      <c r="E953" s="785">
        <f t="shared" si="59"/>
        <v>0</v>
      </c>
      <c r="F953" s="732">
        <f t="shared" si="55"/>
        <v>0</v>
      </c>
      <c r="G953" s="790">
        <f t="shared" si="56"/>
        <v>0</v>
      </c>
      <c r="H953" s="791">
        <f t="shared" si="57"/>
        <v>0</v>
      </c>
      <c r="I953" s="788">
        <f t="shared" si="58"/>
        <v>0</v>
      </c>
      <c r="J953" s="788"/>
      <c r="K953" s="1310"/>
      <c r="L953" s="792"/>
      <c r="M953" s="1310"/>
      <c r="N953" s="792"/>
      <c r="O953" s="792"/>
    </row>
    <row r="954" spans="3:15">
      <c r="C954" s="784">
        <f>IF(D900="","-",+C953+1)</f>
        <v>2064</v>
      </c>
      <c r="D954" s="732">
        <f t="shared" si="54"/>
        <v>0</v>
      </c>
      <c r="E954" s="785">
        <f t="shared" si="59"/>
        <v>0</v>
      </c>
      <c r="F954" s="732">
        <f t="shared" si="55"/>
        <v>0</v>
      </c>
      <c r="G954" s="790">
        <f t="shared" si="56"/>
        <v>0</v>
      </c>
      <c r="H954" s="791">
        <f t="shared" si="57"/>
        <v>0</v>
      </c>
      <c r="I954" s="788">
        <f t="shared" si="58"/>
        <v>0</v>
      </c>
      <c r="J954" s="788"/>
      <c r="K954" s="1310"/>
      <c r="L954" s="792"/>
      <c r="M954" s="1310"/>
      <c r="N954" s="792"/>
      <c r="O954" s="792"/>
    </row>
    <row r="955" spans="3:15">
      <c r="C955" s="784">
        <f>IF(D900="","-",+C954+1)</f>
        <v>2065</v>
      </c>
      <c r="D955" s="732">
        <f t="shared" si="54"/>
        <v>0</v>
      </c>
      <c r="E955" s="785">
        <f t="shared" si="59"/>
        <v>0</v>
      </c>
      <c r="F955" s="732">
        <f t="shared" si="55"/>
        <v>0</v>
      </c>
      <c r="G955" s="790">
        <f t="shared" si="56"/>
        <v>0</v>
      </c>
      <c r="H955" s="791">
        <f t="shared" si="57"/>
        <v>0</v>
      </c>
      <c r="I955" s="788">
        <f t="shared" si="58"/>
        <v>0</v>
      </c>
      <c r="J955" s="788"/>
      <c r="K955" s="1310"/>
      <c r="L955" s="792"/>
      <c r="M955" s="1310"/>
      <c r="N955" s="792"/>
      <c r="O955" s="792"/>
    </row>
    <row r="956" spans="3:15">
      <c r="C956" s="784">
        <f>IF(D900="","-",+C955+1)</f>
        <v>2066</v>
      </c>
      <c r="D956" s="732">
        <f t="shared" si="54"/>
        <v>0</v>
      </c>
      <c r="E956" s="785">
        <f t="shared" si="59"/>
        <v>0</v>
      </c>
      <c r="F956" s="732">
        <f t="shared" si="55"/>
        <v>0</v>
      </c>
      <c r="G956" s="790">
        <f t="shared" si="56"/>
        <v>0</v>
      </c>
      <c r="H956" s="791">
        <f t="shared" si="57"/>
        <v>0</v>
      </c>
      <c r="I956" s="788">
        <f t="shared" si="58"/>
        <v>0</v>
      </c>
      <c r="J956" s="788"/>
      <c r="K956" s="1310"/>
      <c r="L956" s="792"/>
      <c r="M956" s="1310"/>
      <c r="N956" s="792"/>
      <c r="O956" s="792"/>
    </row>
    <row r="957" spans="3:15">
      <c r="C957" s="784">
        <f>IF(D900="","-",+C956+1)</f>
        <v>2067</v>
      </c>
      <c r="D957" s="732">
        <f t="shared" si="54"/>
        <v>0</v>
      </c>
      <c r="E957" s="785">
        <f t="shared" si="59"/>
        <v>0</v>
      </c>
      <c r="F957" s="732">
        <f t="shared" si="55"/>
        <v>0</v>
      </c>
      <c r="G957" s="790">
        <f t="shared" si="56"/>
        <v>0</v>
      </c>
      <c r="H957" s="791">
        <f t="shared" si="57"/>
        <v>0</v>
      </c>
      <c r="I957" s="788">
        <f t="shared" si="58"/>
        <v>0</v>
      </c>
      <c r="J957" s="788"/>
      <c r="K957" s="1310"/>
      <c r="L957" s="792"/>
      <c r="M957" s="1310"/>
      <c r="N957" s="792"/>
      <c r="O957" s="792"/>
    </row>
    <row r="958" spans="3:15">
      <c r="C958" s="784">
        <f>IF(D900="","-",+C957+1)</f>
        <v>2068</v>
      </c>
      <c r="D958" s="732">
        <f t="shared" si="54"/>
        <v>0</v>
      </c>
      <c r="E958" s="785">
        <f t="shared" si="59"/>
        <v>0</v>
      </c>
      <c r="F958" s="732">
        <f t="shared" si="55"/>
        <v>0</v>
      </c>
      <c r="G958" s="790">
        <f t="shared" si="56"/>
        <v>0</v>
      </c>
      <c r="H958" s="791">
        <f t="shared" si="57"/>
        <v>0</v>
      </c>
      <c r="I958" s="788">
        <f t="shared" si="58"/>
        <v>0</v>
      </c>
      <c r="J958" s="788"/>
      <c r="K958" s="1310"/>
      <c r="L958" s="792"/>
      <c r="M958" s="1310"/>
      <c r="N958" s="792"/>
      <c r="O958" s="792"/>
    </row>
    <row r="959" spans="3:15">
      <c r="C959" s="784">
        <f>IF(D900="","-",+C958+1)</f>
        <v>2069</v>
      </c>
      <c r="D959" s="732">
        <f t="shared" si="54"/>
        <v>0</v>
      </c>
      <c r="E959" s="785">
        <f t="shared" si="59"/>
        <v>0</v>
      </c>
      <c r="F959" s="732">
        <f t="shared" si="55"/>
        <v>0</v>
      </c>
      <c r="G959" s="790">
        <f t="shared" si="56"/>
        <v>0</v>
      </c>
      <c r="H959" s="791">
        <f t="shared" si="57"/>
        <v>0</v>
      </c>
      <c r="I959" s="788">
        <f t="shared" si="58"/>
        <v>0</v>
      </c>
      <c r="J959" s="788"/>
      <c r="K959" s="1310"/>
      <c r="L959" s="792"/>
      <c r="M959" s="1310"/>
      <c r="N959" s="792"/>
      <c r="O959" s="792"/>
    </row>
    <row r="960" spans="3:15">
      <c r="C960" s="784">
        <f>IF(D900="","-",+C959+1)</f>
        <v>2070</v>
      </c>
      <c r="D960" s="732">
        <f t="shared" si="54"/>
        <v>0</v>
      </c>
      <c r="E960" s="785">
        <f t="shared" si="59"/>
        <v>0</v>
      </c>
      <c r="F960" s="732">
        <f t="shared" si="55"/>
        <v>0</v>
      </c>
      <c r="G960" s="790">
        <f t="shared" si="56"/>
        <v>0</v>
      </c>
      <c r="H960" s="791">
        <f t="shared" si="57"/>
        <v>0</v>
      </c>
      <c r="I960" s="788">
        <f t="shared" si="58"/>
        <v>0</v>
      </c>
      <c r="J960" s="788"/>
      <c r="K960" s="1310"/>
      <c r="L960" s="792"/>
      <c r="M960" s="1310"/>
      <c r="N960" s="792"/>
      <c r="O960" s="792"/>
    </row>
    <row r="961" spans="3:15">
      <c r="C961" s="784">
        <f>IF(D900="","-",+C960+1)</f>
        <v>2071</v>
      </c>
      <c r="D961" s="732">
        <f t="shared" si="54"/>
        <v>0</v>
      </c>
      <c r="E961" s="785">
        <f t="shared" si="59"/>
        <v>0</v>
      </c>
      <c r="F961" s="732">
        <f t="shared" si="55"/>
        <v>0</v>
      </c>
      <c r="G961" s="790">
        <f t="shared" si="56"/>
        <v>0</v>
      </c>
      <c r="H961" s="791">
        <f t="shared" si="57"/>
        <v>0</v>
      </c>
      <c r="I961" s="788">
        <f t="shared" si="58"/>
        <v>0</v>
      </c>
      <c r="J961" s="788"/>
      <c r="K961" s="1310"/>
      <c r="L961" s="792"/>
      <c r="M961" s="1310"/>
      <c r="N961" s="792"/>
      <c r="O961" s="792"/>
    </row>
    <row r="962" spans="3:15">
      <c r="C962" s="784">
        <f>IF(D900="","-",+C961+1)</f>
        <v>2072</v>
      </c>
      <c r="D962" s="732">
        <f t="shared" si="54"/>
        <v>0</v>
      </c>
      <c r="E962" s="785">
        <f t="shared" si="59"/>
        <v>0</v>
      </c>
      <c r="F962" s="732">
        <f t="shared" si="55"/>
        <v>0</v>
      </c>
      <c r="G962" s="790">
        <f t="shared" si="56"/>
        <v>0</v>
      </c>
      <c r="H962" s="791">
        <f t="shared" si="57"/>
        <v>0</v>
      </c>
      <c r="I962" s="788">
        <f t="shared" si="58"/>
        <v>0</v>
      </c>
      <c r="J962" s="788"/>
      <c r="K962" s="1310"/>
      <c r="L962" s="792"/>
      <c r="M962" s="1310"/>
      <c r="N962" s="792"/>
      <c r="O962" s="792"/>
    </row>
    <row r="963" spans="3:15">
      <c r="C963" s="784">
        <f>IF(D900="","-",+C962+1)</f>
        <v>2073</v>
      </c>
      <c r="D963" s="732">
        <f t="shared" si="54"/>
        <v>0</v>
      </c>
      <c r="E963" s="785">
        <f t="shared" si="59"/>
        <v>0</v>
      </c>
      <c r="F963" s="732">
        <f t="shared" si="55"/>
        <v>0</v>
      </c>
      <c r="G963" s="790">
        <f t="shared" si="56"/>
        <v>0</v>
      </c>
      <c r="H963" s="791">
        <f t="shared" si="57"/>
        <v>0</v>
      </c>
      <c r="I963" s="788">
        <f t="shared" si="58"/>
        <v>0</v>
      </c>
      <c r="J963" s="788"/>
      <c r="K963" s="1310"/>
      <c r="L963" s="792"/>
      <c r="M963" s="1310"/>
      <c r="N963" s="792"/>
      <c r="O963" s="792"/>
    </row>
    <row r="964" spans="3:15">
      <c r="C964" s="784">
        <f>IF(D900="","-",+C963+1)</f>
        <v>2074</v>
      </c>
      <c r="D964" s="732">
        <f t="shared" si="54"/>
        <v>0</v>
      </c>
      <c r="E964" s="785">
        <f t="shared" si="59"/>
        <v>0</v>
      </c>
      <c r="F964" s="732">
        <f t="shared" si="55"/>
        <v>0</v>
      </c>
      <c r="G964" s="790">
        <f t="shared" si="56"/>
        <v>0</v>
      </c>
      <c r="H964" s="791">
        <f t="shared" si="57"/>
        <v>0</v>
      </c>
      <c r="I964" s="788">
        <f t="shared" si="58"/>
        <v>0</v>
      </c>
      <c r="J964" s="788"/>
      <c r="K964" s="1310"/>
      <c r="L964" s="792"/>
      <c r="M964" s="1310"/>
      <c r="N964" s="792"/>
      <c r="O964" s="792"/>
    </row>
    <row r="965" spans="3:15" ht="13.5" thickBot="1">
      <c r="C965" s="794">
        <f>IF(D900="","-",+C964+1)</f>
        <v>2075</v>
      </c>
      <c r="D965" s="795">
        <f t="shared" si="54"/>
        <v>0</v>
      </c>
      <c r="E965" s="796">
        <f t="shared" si="59"/>
        <v>0</v>
      </c>
      <c r="F965" s="795">
        <f t="shared" si="55"/>
        <v>0</v>
      </c>
      <c r="G965" s="797">
        <f t="shared" si="56"/>
        <v>0</v>
      </c>
      <c r="H965" s="797">
        <f t="shared" si="57"/>
        <v>0</v>
      </c>
      <c r="I965" s="798">
        <f t="shared" si="58"/>
        <v>0</v>
      </c>
      <c r="J965" s="788"/>
      <c r="K965" s="1311"/>
      <c r="L965" s="799"/>
      <c r="M965" s="1311"/>
      <c r="N965" s="799"/>
      <c r="O965" s="799"/>
    </row>
    <row r="966" spans="3:15">
      <c r="C966" s="732" t="s">
        <v>93</v>
      </c>
      <c r="D966" s="726"/>
      <c r="E966" s="726">
        <f>SUM(E906:E965)</f>
        <v>8427428</v>
      </c>
      <c r="F966" s="726"/>
      <c r="G966" s="726">
        <f>SUM(G906:G965)</f>
        <v>27920095.874693424</v>
      </c>
      <c r="H966" s="726">
        <f>SUM(H906:H965)</f>
        <v>27920095.874693424</v>
      </c>
      <c r="I966" s="726">
        <f>SUM(I906:I965)</f>
        <v>0</v>
      </c>
      <c r="J966" s="726"/>
      <c r="K966" s="726"/>
      <c r="L966" s="726"/>
      <c r="M966" s="726"/>
      <c r="N966" s="726"/>
      <c r="O966" s="313"/>
    </row>
    <row r="967" spans="3:15">
      <c r="D967" s="534"/>
      <c r="E967" s="313"/>
      <c r="F967" s="313"/>
      <c r="G967" s="313"/>
      <c r="H967" s="704"/>
      <c r="I967" s="704"/>
      <c r="J967" s="726"/>
      <c r="K967" s="704"/>
      <c r="L967" s="704"/>
      <c r="M967" s="704"/>
      <c r="N967" s="704"/>
      <c r="O967" s="313"/>
    </row>
    <row r="968" spans="3:15">
      <c r="C968" s="313" t="s">
        <v>15</v>
      </c>
      <c r="D968" s="534"/>
      <c r="E968" s="313"/>
      <c r="F968" s="313"/>
      <c r="G968" s="313"/>
      <c r="H968" s="704"/>
      <c r="I968" s="704"/>
      <c r="J968" s="726"/>
      <c r="K968" s="704"/>
      <c r="L968" s="704"/>
      <c r="M968" s="704"/>
      <c r="N968" s="704"/>
      <c r="O968" s="313"/>
    </row>
    <row r="969" spans="3:15">
      <c r="C969" s="313"/>
      <c r="D969" s="534"/>
      <c r="E969" s="313"/>
      <c r="F969" s="313"/>
      <c r="G969" s="313"/>
      <c r="H969" s="704"/>
      <c r="I969" s="704"/>
      <c r="J969" s="726"/>
      <c r="K969" s="704"/>
      <c r="L969" s="704"/>
      <c r="M969" s="704"/>
      <c r="N969" s="704"/>
      <c r="O969" s="313"/>
    </row>
    <row r="970" spans="3:15">
      <c r="C970" s="745" t="s">
        <v>16</v>
      </c>
      <c r="D970" s="732"/>
      <c r="E970" s="732"/>
      <c r="F970" s="732"/>
      <c r="G970" s="726"/>
      <c r="H970" s="726"/>
      <c r="I970" s="800"/>
      <c r="J970" s="800"/>
      <c r="K970" s="800"/>
      <c r="L970" s="800"/>
      <c r="M970" s="800"/>
      <c r="N970" s="800"/>
      <c r="O970" s="313"/>
    </row>
    <row r="971" spans="3:15">
      <c r="C971" s="731" t="s">
        <v>273</v>
      </c>
      <c r="D971" s="732"/>
      <c r="E971" s="732"/>
      <c r="F971" s="732"/>
      <c r="G971" s="726"/>
      <c r="H971" s="726"/>
      <c r="I971" s="800"/>
      <c r="J971" s="800"/>
      <c r="K971" s="800"/>
      <c r="L971" s="800"/>
      <c r="M971" s="800"/>
      <c r="N971" s="800"/>
      <c r="O971" s="313"/>
    </row>
    <row r="972" spans="3:15">
      <c r="C972" s="731" t="s">
        <v>94</v>
      </c>
      <c r="D972" s="732"/>
      <c r="E972" s="732"/>
      <c r="F972" s="732"/>
      <c r="G972" s="726"/>
      <c r="H972" s="726"/>
      <c r="I972" s="800"/>
      <c r="J972" s="800"/>
      <c r="K972" s="800"/>
      <c r="L972" s="800"/>
      <c r="M972" s="800"/>
      <c r="N972" s="800"/>
      <c r="O972" s="313"/>
    </row>
    <row r="973" spans="3:15">
      <c r="C973" s="731"/>
      <c r="D973" s="732"/>
      <c r="E973" s="732"/>
      <c r="F973" s="732"/>
      <c r="G973" s="726"/>
      <c r="H973" s="726"/>
      <c r="I973" s="800"/>
      <c r="J973" s="800"/>
      <c r="K973" s="800"/>
      <c r="L973" s="800"/>
      <c r="M973" s="800"/>
      <c r="N973" s="800"/>
      <c r="O973" s="313"/>
    </row>
    <row r="974" spans="3:15">
      <c r="C974" s="1556" t="s">
        <v>8</v>
      </c>
      <c r="D974" s="1556"/>
      <c r="E974" s="1556"/>
      <c r="F974" s="1556"/>
      <c r="G974" s="1556"/>
      <c r="H974" s="1556"/>
      <c r="I974" s="1556"/>
      <c r="J974" s="1556"/>
      <c r="K974" s="1556"/>
      <c r="L974" s="1556"/>
      <c r="M974" s="1556"/>
      <c r="N974" s="1556"/>
      <c r="O974" s="1556"/>
    </row>
    <row r="975" spans="3:15">
      <c r="C975" s="1556"/>
      <c r="D975" s="1556"/>
      <c r="E975" s="1556"/>
      <c r="F975" s="1556"/>
      <c r="G975" s="1556"/>
      <c r="H975" s="1556"/>
      <c r="I975" s="1556"/>
      <c r="J975" s="1556"/>
      <c r="K975" s="1556"/>
      <c r="L975" s="1556"/>
      <c r="M975" s="1556"/>
      <c r="N975" s="1556"/>
      <c r="O975" s="1556"/>
    </row>
  </sheetData>
  <mergeCells count="36">
    <mergeCell ref="D895:I896"/>
    <mergeCell ref="K899:O899"/>
    <mergeCell ref="C974:O975"/>
    <mergeCell ref="C883:O884"/>
    <mergeCell ref="D715:I716"/>
    <mergeCell ref="K719:O719"/>
    <mergeCell ref="C794:O795"/>
    <mergeCell ref="D804:I805"/>
    <mergeCell ref="K808:O808"/>
    <mergeCell ref="D537:I538"/>
    <mergeCell ref="K541:O541"/>
    <mergeCell ref="C616:O617"/>
    <mergeCell ref="D626:I627"/>
    <mergeCell ref="K630:O630"/>
    <mergeCell ref="C705:O706"/>
    <mergeCell ref="C169:O170"/>
    <mergeCell ref="K94:O94"/>
    <mergeCell ref="A3:O3"/>
    <mergeCell ref="C11:H12"/>
    <mergeCell ref="A4:O4"/>
    <mergeCell ref="A5:O5"/>
    <mergeCell ref="A6:O6"/>
    <mergeCell ref="I77:O80"/>
    <mergeCell ref="K22:O23"/>
    <mergeCell ref="K184:O184"/>
    <mergeCell ref="C259:O260"/>
    <mergeCell ref="D180:I181"/>
    <mergeCell ref="D269:I270"/>
    <mergeCell ref="K273:O273"/>
    <mergeCell ref="C348:O349"/>
    <mergeCell ref="C527:O528"/>
    <mergeCell ref="D358:I359"/>
    <mergeCell ref="K362:O362"/>
    <mergeCell ref="C437:O438"/>
    <mergeCell ref="D448:I449"/>
    <mergeCell ref="K452:O452"/>
  </mergeCells>
  <phoneticPr fontId="0" type="noConversion"/>
  <conditionalFormatting sqref="C101:C160">
    <cfRule type="cellIs" dxfId="23" priority="20" stopIfTrue="1" operator="equal">
      <formula>$I$92</formula>
    </cfRule>
  </conditionalFormatting>
  <conditionalFormatting sqref="C191:C250">
    <cfRule type="cellIs" dxfId="22" priority="9" stopIfTrue="1" operator="equal">
      <formula>$I$92</formula>
    </cfRule>
  </conditionalFormatting>
  <conditionalFormatting sqref="C280:C339">
    <cfRule type="cellIs" dxfId="21" priority="8" stopIfTrue="1" operator="equal">
      <formula>$I$92</formula>
    </cfRule>
  </conditionalFormatting>
  <conditionalFormatting sqref="C369:C428">
    <cfRule type="cellIs" dxfId="20" priority="7" stopIfTrue="1" operator="equal">
      <formula>$I$92</formula>
    </cfRule>
  </conditionalFormatting>
  <conditionalFormatting sqref="C459:C518">
    <cfRule type="cellIs" dxfId="19" priority="6" stopIfTrue="1" operator="equal">
      <formula>$I$92</formula>
    </cfRule>
  </conditionalFormatting>
  <conditionalFormatting sqref="C548:C607">
    <cfRule type="cellIs" dxfId="18" priority="5" stopIfTrue="1" operator="equal">
      <formula>$I$92</formula>
    </cfRule>
  </conditionalFormatting>
  <conditionalFormatting sqref="C637:C696">
    <cfRule type="cellIs" dxfId="17" priority="4" stopIfTrue="1" operator="equal">
      <formula>$I$92</formula>
    </cfRule>
  </conditionalFormatting>
  <conditionalFormatting sqref="C726:C785">
    <cfRule type="cellIs" dxfId="16" priority="3" stopIfTrue="1" operator="equal">
      <formula>$I$92</formula>
    </cfRule>
  </conditionalFormatting>
  <conditionalFormatting sqref="C815:C874">
    <cfRule type="cellIs" dxfId="15" priority="2" stopIfTrue="1" operator="equal">
      <formula>$I$92</formula>
    </cfRule>
  </conditionalFormatting>
  <conditionalFormatting sqref="C906:C965">
    <cfRule type="cellIs" dxfId="14"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8" manualBreakCount="8">
    <brk id="80" max="14" man="1"/>
    <brk id="260" max="14" man="1"/>
    <brk id="349" max="14" man="1"/>
    <brk id="439" max="14" man="1"/>
    <brk id="528" max="14" man="1"/>
    <brk id="617" max="14" man="1"/>
    <brk id="706" max="14" man="1"/>
    <brk id="795"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Q949"/>
  <sheetViews>
    <sheetView view="pageBreakPreview" topLeftCell="B26" zoomScale="70" zoomScaleNormal="70" zoomScaleSheetLayoutView="70" workbookViewId="0">
      <selection activeCell="I888" sqref="I888"/>
    </sheetView>
  </sheetViews>
  <sheetFormatPr defaultColWidth="8.85546875" defaultRowHeight="12.75"/>
  <cols>
    <col min="1" max="1" width="4.7109375" style="173" customWidth="1"/>
    <col min="2" max="2" width="6.7109375" style="389" customWidth="1"/>
    <col min="3" max="3" width="20.7109375" style="173" customWidth="1"/>
    <col min="4" max="4" width="22" style="272" customWidth="1"/>
    <col min="5" max="5" width="19.28515625" style="173" customWidth="1"/>
    <col min="6" max="8" width="17.7109375" style="173" customWidth="1"/>
    <col min="9" max="9" width="17.7109375" style="484" customWidth="1"/>
    <col min="10" max="10" width="17.7109375" style="173" bestFit="1" customWidth="1"/>
    <col min="11" max="11" width="2.140625" style="156" customWidth="1"/>
    <col min="12" max="12" width="17.7109375" style="313" customWidth="1"/>
    <col min="13" max="13" width="30.85546875" style="313" customWidth="1"/>
    <col min="14" max="14" width="17.7109375" style="313" customWidth="1"/>
    <col min="15" max="15" width="23.42578125" style="313" customWidth="1"/>
    <col min="16" max="16" width="16.7109375" style="313" customWidth="1"/>
    <col min="17" max="16384" width="8.85546875" style="173"/>
  </cols>
  <sheetData>
    <row r="1" spans="1:16" ht="15.75">
      <c r="A1" s="1000" t="s">
        <v>416</v>
      </c>
    </row>
    <row r="2" spans="1:16" ht="15.75">
      <c r="A2" s="1000" t="s">
        <v>416</v>
      </c>
    </row>
    <row r="3" spans="1:16" ht="15">
      <c r="A3" s="1501" t="str">
        <f>TCOS!$F$5</f>
        <v>AEPTCo subsidiaries in PJM</v>
      </c>
      <c r="B3" s="1501" t="str">
        <f>TCOS!$F$5</f>
        <v>AEPTCo subsidiaries in PJM</v>
      </c>
      <c r="C3" s="1501" t="str">
        <f>TCOS!$F$5</f>
        <v>AEPTCo subsidiaries in PJM</v>
      </c>
      <c r="D3" s="1501" t="str">
        <f>TCOS!$F$5</f>
        <v>AEPTCo subsidiaries in PJM</v>
      </c>
      <c r="E3" s="1501" t="str">
        <f>TCOS!$F$5</f>
        <v>AEPTCo subsidiaries in PJM</v>
      </c>
      <c r="F3" s="1501" t="str">
        <f>TCOS!$F$5</f>
        <v>AEPTCo subsidiaries in PJM</v>
      </c>
      <c r="G3" s="1501" t="str">
        <f>TCOS!$F$5</f>
        <v>AEPTCo subsidiaries in PJM</v>
      </c>
      <c r="H3" s="1501" t="str">
        <f>TCOS!$F$5</f>
        <v>AEPTCo subsidiaries in PJM</v>
      </c>
      <c r="I3" s="1501" t="str">
        <f>TCOS!$F$5</f>
        <v>AEPTCo subsidiaries in PJM</v>
      </c>
      <c r="J3" s="1501" t="str">
        <f>TCOS!$F$5</f>
        <v>AEPTCo subsidiaries in PJM</v>
      </c>
      <c r="K3" s="1501" t="str">
        <f>TCOS!$F$5</f>
        <v>AEPTCo subsidiaries in PJM</v>
      </c>
      <c r="L3" s="1501" t="str">
        <f>TCOS!$F$5</f>
        <v>AEPTCo subsidiaries in PJM</v>
      </c>
      <c r="M3" s="1501" t="str">
        <f>TCOS!$F$5</f>
        <v>AEPTCo subsidiaries in PJM</v>
      </c>
      <c r="N3" s="1501" t="str">
        <f>TCOS!$F$5</f>
        <v>AEPTCo subsidiaries in PJM</v>
      </c>
      <c r="O3" s="1501" t="str">
        <f>TCOS!$F$5</f>
        <v>AEPTCo subsidiaries in PJM</v>
      </c>
      <c r="P3" s="1501" t="str">
        <f>TCOS!$F$5</f>
        <v>AEPTCo subsidiaries in PJM</v>
      </c>
    </row>
    <row r="4" spans="1:16" ht="15">
      <c r="A4" s="1532" t="str">
        <f>"Cost of Service Formula Rate Using Actual/Projected FF1 Balances"</f>
        <v>Cost of Service Formula Rate Using Actual/Projected FF1 Balances</v>
      </c>
      <c r="B4" s="1532"/>
      <c r="C4" s="1532"/>
      <c r="D4" s="1532"/>
      <c r="E4" s="1532"/>
      <c r="F4" s="1532"/>
      <c r="G4" s="1532"/>
      <c r="H4" s="1532"/>
      <c r="I4" s="1532"/>
      <c r="J4" s="1532"/>
      <c r="K4" s="1532"/>
      <c r="L4" s="1532"/>
      <c r="M4" s="1532"/>
      <c r="N4" s="1532"/>
      <c r="O4" s="1532"/>
      <c r="P4" s="1532"/>
    </row>
    <row r="5" spans="1:16" ht="15">
      <c r="A5" s="1532" t="s">
        <v>267</v>
      </c>
      <c r="B5" s="1532"/>
      <c r="C5" s="1532"/>
      <c r="D5" s="1532"/>
      <c r="E5" s="1532"/>
      <c r="F5" s="1532"/>
      <c r="G5" s="1532"/>
      <c r="H5" s="1532"/>
      <c r="I5" s="1532"/>
      <c r="J5" s="1532"/>
      <c r="K5" s="1532"/>
      <c r="L5" s="1532"/>
      <c r="M5" s="1532"/>
      <c r="N5" s="1532"/>
      <c r="O5" s="1532"/>
      <c r="P5" s="1532"/>
    </row>
    <row r="6" spans="1:16" ht="15">
      <c r="A6" s="1533" t="str">
        <f>TCOS!F9</f>
        <v>AEP Indiana Michigan Transmission Company</v>
      </c>
      <c r="B6" s="1533"/>
      <c r="C6" s="1533"/>
      <c r="D6" s="1533"/>
      <c r="E6" s="1533"/>
      <c r="F6" s="1533"/>
      <c r="G6" s="1533"/>
      <c r="H6" s="1533"/>
      <c r="I6" s="1533"/>
      <c r="J6" s="1533"/>
      <c r="K6" s="1533"/>
      <c r="L6" s="1533"/>
      <c r="M6" s="1533"/>
      <c r="N6" s="1533"/>
      <c r="O6" s="1533"/>
      <c r="P6" s="1533"/>
    </row>
    <row r="8" spans="1:16" ht="20.25">
      <c r="A8" s="648"/>
      <c r="C8" s="389"/>
      <c r="O8" s="649" t="str">
        <f>"Page "&amp;Q8&amp;" of "</f>
        <v xml:space="preserve">Page  of </v>
      </c>
      <c r="P8" s="650">
        <f>COUNT(Q$8:Q$56657)</f>
        <v>10</v>
      </c>
    </row>
    <row r="9" spans="1:16" ht="18">
      <c r="C9" s="652"/>
    </row>
    <row r="11" spans="1:16" ht="17.100000000000001" customHeight="1">
      <c r="B11" s="653" t="s">
        <v>471</v>
      </c>
      <c r="C11" s="1559" t="str">
        <f>"Calculate Return and Income Taxes with "&amp;F17&amp;" basis point ROE increase for Projects Qualified for Regional Billing."</f>
        <v>Calculate Return and Income Taxes with 0 basis point ROE increase for Projects Qualified for Regional Billing.</v>
      </c>
      <c r="D11" s="1559"/>
      <c r="E11" s="1559"/>
      <c r="F11" s="1559"/>
      <c r="G11" s="1559"/>
      <c r="H11" s="1559"/>
      <c r="I11" s="1559"/>
    </row>
    <row r="12" spans="1:16" ht="18.75" customHeight="1">
      <c r="C12" s="1559"/>
      <c r="D12" s="1559"/>
      <c r="E12" s="1559"/>
      <c r="F12" s="1559"/>
      <c r="G12" s="1559"/>
      <c r="H12" s="1559"/>
      <c r="I12" s="1559"/>
    </row>
    <row r="13" spans="1:16" ht="15.75" customHeight="1">
      <c r="C13" s="654"/>
      <c r="D13" s="654"/>
      <c r="E13" s="654"/>
      <c r="F13" s="654"/>
      <c r="G13" s="654"/>
      <c r="H13" s="654"/>
      <c r="I13" s="654"/>
    </row>
    <row r="14" spans="1:16" ht="15.75">
      <c r="C14" s="655" t="str">
        <f>"A.   Determine 'R' with hypothetical "&amp;F17&amp;" basis point increase in ROE for Identified Projects"</f>
        <v>A.   Determine 'R' with hypothetical 0 basis point increase in ROE for Identified Projects</v>
      </c>
      <c r="D14" s="220"/>
    </row>
    <row r="15" spans="1:16">
      <c r="C15" s="209"/>
      <c r="D15" s="220"/>
    </row>
    <row r="16" spans="1:16">
      <c r="C16" s="656" t="str">
        <f>"   ROE w/o incentives  (TCOS, ln "&amp;TCOS!B235&amp;")"</f>
        <v xml:space="preserve">   ROE w/o incentives  (TCOS, ln 138)</v>
      </c>
      <c r="D16" s="220"/>
      <c r="E16" s="657"/>
      <c r="F16" s="810">
        <f>TCOS!J235</f>
        <v>0.10349999999999999</v>
      </c>
      <c r="G16" s="810"/>
      <c r="H16" s="657"/>
      <c r="I16" s="659"/>
      <c r="J16" s="659"/>
      <c r="K16" s="660"/>
      <c r="L16" s="659"/>
      <c r="M16" s="659"/>
      <c r="N16" s="659"/>
      <c r="O16" s="659"/>
      <c r="P16" s="659"/>
    </row>
    <row r="17" spans="3:16" ht="13.5" thickBot="1">
      <c r="C17" s="656" t="s">
        <v>52</v>
      </c>
      <c r="D17" s="220"/>
      <c r="E17" s="657"/>
      <c r="F17" s="801">
        <v>0</v>
      </c>
      <c r="G17" s="657"/>
      <c r="H17" s="657"/>
      <c r="I17" s="659"/>
      <c r="J17" s="659"/>
      <c r="K17" s="660"/>
      <c r="L17" s="659"/>
      <c r="M17" s="659"/>
      <c r="N17" s="659"/>
      <c r="O17" s="659"/>
      <c r="P17" s="659"/>
    </row>
    <row r="18" spans="3:16">
      <c r="C18" s="656" t="str">
        <f>"   ROE with additional "&amp;F17&amp;" basis point incentive"</f>
        <v xml:space="preserve">   ROE with additional 0 basis point incentive</v>
      </c>
      <c r="D18" s="657"/>
      <c r="E18" s="657"/>
      <c r="F18" s="662">
        <f>IF((F16+(F17/10000)&gt;0.125),"ERROR",F16+(F17/10000))</f>
        <v>0.10349999999999999</v>
      </c>
      <c r="G18" s="663"/>
      <c r="H18" s="657"/>
      <c r="I18" s="659"/>
      <c r="J18" s="659"/>
      <c r="K18" s="660"/>
      <c r="L18" s="811" t="s">
        <v>244</v>
      </c>
      <c r="M18" s="812"/>
      <c r="N18" s="812"/>
      <c r="O18" s="812"/>
      <c r="P18" s="813"/>
    </row>
    <row r="19" spans="3:16">
      <c r="C19" s="656"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57"/>
      <c r="F19" s="664"/>
      <c r="G19" s="664"/>
      <c r="H19" s="657"/>
      <c r="I19" s="659"/>
      <c r="J19" s="659"/>
      <c r="K19" s="660"/>
      <c r="L19" s="814"/>
      <c r="M19" s="660"/>
      <c r="N19" s="660" t="s">
        <v>54</v>
      </c>
      <c r="O19" s="660" t="s">
        <v>55</v>
      </c>
      <c r="P19" s="815" t="s">
        <v>57</v>
      </c>
    </row>
    <row r="20" spans="3:16">
      <c r="C20" s="660"/>
      <c r="D20" s="665" t="s">
        <v>446</v>
      </c>
      <c r="E20" s="665" t="s">
        <v>445</v>
      </c>
      <c r="F20" s="666" t="s">
        <v>53</v>
      </c>
      <c r="G20" s="666"/>
      <c r="H20" s="657"/>
      <c r="I20" s="659"/>
      <c r="J20" s="659"/>
      <c r="K20" s="660"/>
      <c r="L20" s="814" t="s">
        <v>242</v>
      </c>
      <c r="M20" s="816" t="str">
        <f>+TCOS!O3</f>
        <v xml:space="preserve"> </v>
      </c>
      <c r="N20" s="423"/>
      <c r="O20" s="423"/>
      <c r="P20" s="817"/>
    </row>
    <row r="21" spans="3:16">
      <c r="C21" s="667" t="s">
        <v>58</v>
      </c>
      <c r="D21" s="818">
        <f>TCOS!H233</f>
        <v>0.4436900595779355</v>
      </c>
      <c r="E21" s="669">
        <f>TCOS!J233</f>
        <v>3.7987732629711862E-2</v>
      </c>
      <c r="F21" s="670">
        <f>E21*D21</f>
        <v>1.6854779353707539E-2</v>
      </c>
      <c r="G21" s="670"/>
      <c r="H21" s="657"/>
      <c r="I21" s="659"/>
      <c r="J21" s="671"/>
      <c r="K21" s="672"/>
      <c r="L21" s="819"/>
      <c r="M21" s="761" t="s">
        <v>243</v>
      </c>
      <c r="N21" s="952">
        <f>M88+M175+M262+M349+M436+M523+M610+M697+M784+M871</f>
        <v>47169052.490170203</v>
      </c>
      <c r="O21" s="952">
        <f>N88+N175+N262+N349+N436+N523+N610+N697+N784+N871</f>
        <v>47169052.490170203</v>
      </c>
      <c r="P21" s="820">
        <f>+O21-N21</f>
        <v>0</v>
      </c>
    </row>
    <row r="22" spans="3:16" ht="13.5" thickBot="1">
      <c r="C22" s="667" t="s">
        <v>59</v>
      </c>
      <c r="D22" s="818">
        <f>TCOS!H234</f>
        <v>0</v>
      </c>
      <c r="E22" s="669">
        <f>TCOS!J234</f>
        <v>0</v>
      </c>
      <c r="F22" s="670">
        <f>E22*D22</f>
        <v>0</v>
      </c>
      <c r="G22" s="670"/>
      <c r="H22" s="673"/>
      <c r="I22" s="673"/>
      <c r="J22" s="674"/>
      <c r="K22" s="675"/>
      <c r="L22" s="819"/>
      <c r="M22" s="761" t="s">
        <v>622</v>
      </c>
      <c r="N22" s="953">
        <f>M89+M176+M263+M350+M437+M524+M611+M698+M785+M872</f>
        <v>49500447.763588294</v>
      </c>
      <c r="O22" s="953">
        <f>N89+N176+N263+N350+N437+N524+N611+N698+N785+N872</f>
        <v>49500447.763588294</v>
      </c>
      <c r="P22" s="821">
        <f>+O22-N22</f>
        <v>0</v>
      </c>
    </row>
    <row r="23" spans="3:16">
      <c r="C23" s="676" t="s">
        <v>31</v>
      </c>
      <c r="D23" s="818">
        <f>TCOS!H235</f>
        <v>0.55630994042206461</v>
      </c>
      <c r="E23" s="669">
        <f>+F18</f>
        <v>0.10349999999999999</v>
      </c>
      <c r="F23" s="677">
        <f>E23*D23</f>
        <v>5.7578078833683682E-2</v>
      </c>
      <c r="G23" s="677"/>
      <c r="H23" s="673"/>
      <c r="I23" s="673"/>
      <c r="J23" s="674"/>
      <c r="K23" s="675"/>
      <c r="L23" s="819"/>
      <c r="M23" s="761" t="str">
        <f>"True-up of ARR For "&amp;TCOS!L4&amp;""</f>
        <v>True-up of ARR For 2021</v>
      </c>
      <c r="N23" s="732">
        <f>+N22-N21</f>
        <v>2331395.2734180912</v>
      </c>
      <c r="O23" s="732">
        <f>+O22-O21</f>
        <v>2331395.2734180912</v>
      </c>
      <c r="P23" s="822">
        <f>+P22-P21</f>
        <v>0</v>
      </c>
    </row>
    <row r="24" spans="3:16">
      <c r="C24" s="656"/>
      <c r="D24" s="173"/>
      <c r="E24" s="678" t="s">
        <v>60</v>
      </c>
      <c r="F24" s="670">
        <f>SUM(F21:F23)</f>
        <v>7.4432858187391218E-2</v>
      </c>
      <c r="G24" s="670"/>
      <c r="H24" s="673"/>
      <c r="I24" s="673"/>
      <c r="J24" s="674"/>
      <c r="K24" s="675"/>
      <c r="L24" s="819"/>
      <c r="M24" s="423"/>
      <c r="N24" s="423"/>
      <c r="O24" s="423"/>
      <c r="P24" s="817"/>
    </row>
    <row r="25" spans="3:16" ht="13.5" thickBot="1">
      <c r="C25" s="209"/>
      <c r="D25" s="683"/>
      <c r="E25" s="683"/>
      <c r="F25" s="673"/>
      <c r="G25" s="673"/>
      <c r="H25" s="673"/>
      <c r="I25" s="673"/>
      <c r="J25" s="673"/>
      <c r="K25" s="684"/>
      <c r="L25" s="823"/>
      <c r="M25" s="824"/>
      <c r="N25" s="825"/>
      <c r="O25" s="825"/>
      <c r="P25" s="821"/>
    </row>
    <row r="26" spans="3:16" ht="15.75">
      <c r="C26" s="655" t="str">
        <f>"B.   Determine Return using 'R' with hypothetical "&amp;F17&amp;" basis point ROE increase for Identified Projects."</f>
        <v>B.   Determine Return using 'R' with hypothetical 0 basis point ROE increase for Identified Projects.</v>
      </c>
      <c r="D26" s="683"/>
      <c r="E26" s="683"/>
      <c r="F26" s="688"/>
      <c r="G26" s="688"/>
      <c r="H26" s="673"/>
      <c r="I26" s="657"/>
      <c r="J26" s="673"/>
      <c r="K26" s="684"/>
      <c r="L26" s="673"/>
      <c r="M26" s="673"/>
      <c r="N26" s="673"/>
      <c r="O26" s="673"/>
      <c r="P26" s="673"/>
    </row>
    <row r="27" spans="3:16">
      <c r="C27" s="660"/>
      <c r="D27" s="683"/>
      <c r="E27" s="683"/>
      <c r="F27" s="684"/>
      <c r="G27" s="684"/>
      <c r="H27" s="684"/>
      <c r="I27" s="684"/>
      <c r="J27" s="684"/>
      <c r="K27" s="684"/>
      <c r="L27" s="684"/>
      <c r="M27" s="684"/>
      <c r="N27" s="684"/>
      <c r="O27" s="684"/>
      <c r="P27" s="684"/>
    </row>
    <row r="28" spans="3:16">
      <c r="C28" s="656" t="str">
        <f>"   Rate Base  (True-Up TCOS, ln "&amp;TCOS!B112&amp;")"</f>
        <v xml:space="preserve">   Rate Base  (True-Up TCOS, ln 58)</v>
      </c>
      <c r="D28" s="657"/>
      <c r="E28" s="694">
        <f>TCOS!L112</f>
        <v>2520161799.104641</v>
      </c>
      <c r="F28" s="826"/>
      <c r="G28" s="826"/>
      <c r="H28" s="684"/>
      <c r="I28" s="684"/>
      <c r="J28" s="684"/>
      <c r="K28" s="684"/>
      <c r="L28" s="684"/>
      <c r="M28" s="684"/>
      <c r="N28" s="684"/>
      <c r="O28" s="684"/>
      <c r="P28" s="826"/>
    </row>
    <row r="29" spans="3:16">
      <c r="C29" s="660" t="s">
        <v>62</v>
      </c>
      <c r="D29" s="696"/>
      <c r="E29" s="670">
        <f>F24</f>
        <v>7.4432858187391218E-2</v>
      </c>
      <c r="F29" s="684"/>
      <c r="G29" s="684"/>
      <c r="H29" s="684"/>
      <c r="I29" s="684"/>
      <c r="J29" s="684"/>
      <c r="K29" s="684"/>
      <c r="L29" s="684"/>
      <c r="M29" s="684"/>
      <c r="N29" s="684"/>
      <c r="O29" s="684"/>
      <c r="P29" s="684"/>
    </row>
    <row r="30" spans="3:16">
      <c r="C30" s="697" t="s">
        <v>63</v>
      </c>
      <c r="D30" s="697"/>
      <c r="E30" s="674">
        <f>E28*E29</f>
        <v>187582845.80203646</v>
      </c>
      <c r="F30" s="684"/>
      <c r="G30" s="684"/>
      <c r="H30" s="684"/>
      <c r="I30" s="684"/>
      <c r="J30" s="675"/>
      <c r="K30" s="675"/>
      <c r="L30" s="675"/>
      <c r="M30" s="675"/>
      <c r="N30" s="675"/>
      <c r="O30" s="675"/>
      <c r="P30" s="684"/>
    </row>
    <row r="31" spans="3:16">
      <c r="C31" s="698"/>
      <c r="D31" s="659"/>
      <c r="E31" s="659"/>
      <c r="F31" s="684"/>
      <c r="G31" s="684"/>
      <c r="H31" s="684"/>
      <c r="I31" s="684"/>
      <c r="J31" s="675"/>
      <c r="K31" s="675"/>
      <c r="L31" s="675"/>
      <c r="M31" s="675"/>
      <c r="N31" s="675"/>
      <c r="O31" s="675"/>
      <c r="P31" s="684"/>
    </row>
    <row r="32" spans="3:16" ht="15.75">
      <c r="C32" s="655" t="str">
        <f>"C.   Determine Income Taxes using Return with hypothetical "&amp;F17&amp;" basis point ROE increase for Identified Projects."</f>
        <v>C.   Determine Income Taxes using Return with hypothetical 0 basis point ROE increase for Identified Projects.</v>
      </c>
      <c r="D32" s="699"/>
      <c r="E32" s="699"/>
      <c r="F32" s="700"/>
      <c r="G32" s="700"/>
      <c r="H32" s="700"/>
      <c r="I32" s="700"/>
      <c r="J32" s="701"/>
      <c r="K32" s="701"/>
      <c r="L32" s="701"/>
      <c r="M32" s="701"/>
      <c r="N32" s="701"/>
      <c r="O32" s="701"/>
      <c r="P32" s="700"/>
    </row>
    <row r="33" spans="2:16">
      <c r="C33" s="656"/>
      <c r="D33" s="659"/>
      <c r="E33" s="659"/>
      <c r="F33" s="684"/>
      <c r="G33" s="684"/>
      <c r="H33" s="684"/>
      <c r="I33" s="684"/>
      <c r="J33" s="675"/>
      <c r="K33" s="675"/>
      <c r="L33" s="675"/>
      <c r="M33" s="675"/>
      <c r="N33" s="675"/>
      <c r="O33" s="675"/>
      <c r="P33" s="684"/>
    </row>
    <row r="34" spans="2:16">
      <c r="C34" s="660" t="s">
        <v>64</v>
      </c>
      <c r="D34" s="678"/>
      <c r="E34" s="702">
        <f>E30</f>
        <v>187582845.80203646</v>
      </c>
      <c r="F34" s="684"/>
      <c r="G34" s="684"/>
      <c r="H34" s="684"/>
      <c r="I34" s="684"/>
      <c r="J34" s="684"/>
      <c r="K34" s="684"/>
      <c r="L34" s="684"/>
      <c r="M34" s="684"/>
      <c r="N34" s="684"/>
      <c r="O34" s="684"/>
      <c r="P34" s="684"/>
    </row>
    <row r="35" spans="2:16">
      <c r="C35" s="656" t="str">
        <f>"   Effective Tax Rate  (TCOS, ln "&amp;TCOS!B170&amp;")"</f>
        <v xml:space="preserve">   Effective Tax Rate  (TCOS, ln 97)</v>
      </c>
      <c r="D35" s="534"/>
      <c r="E35" s="703">
        <f>TCOS!G170</f>
        <v>0.25739704901815735</v>
      </c>
      <c r="F35" s="313"/>
      <c r="G35" s="313"/>
      <c r="H35" s="313"/>
      <c r="I35" s="704"/>
      <c r="J35" s="313"/>
      <c r="K35" s="423"/>
    </row>
    <row r="36" spans="2:16">
      <c r="C36" s="698" t="s">
        <v>65</v>
      </c>
      <c r="D36" s="534"/>
      <c r="E36" s="705">
        <f>E34*E35</f>
        <v>48283270.95587223</v>
      </c>
      <c r="F36" s="313"/>
      <c r="G36" s="313"/>
      <c r="H36" s="313"/>
      <c r="I36" s="704"/>
      <c r="J36" s="313"/>
      <c r="K36" s="423"/>
    </row>
    <row r="37" spans="2:16" ht="15">
      <c r="C37" s="656" t="s">
        <v>107</v>
      </c>
      <c r="D37" s="324"/>
      <c r="E37" s="706">
        <f>TCOS!L178</f>
        <v>0</v>
      </c>
      <c r="F37" s="324"/>
      <c r="G37" s="324"/>
      <c r="H37" s="324"/>
      <c r="I37" s="324"/>
      <c r="J37" s="324"/>
      <c r="K37" s="324"/>
      <c r="L37" s="324"/>
      <c r="M37" s="324"/>
      <c r="N37" s="324"/>
      <c r="O37" s="324"/>
      <c r="P37" s="231"/>
    </row>
    <row r="38" spans="2:16" ht="15">
      <c r="C38" s="656" t="s">
        <v>560</v>
      </c>
      <c r="D38" s="324"/>
      <c r="E38" s="706">
        <f>TCOS!L179</f>
        <v>1586953.8963130757</v>
      </c>
      <c r="F38" s="324"/>
      <c r="G38" s="324"/>
      <c r="H38" s="324"/>
      <c r="I38" s="324"/>
      <c r="J38" s="324"/>
      <c r="K38" s="324"/>
      <c r="L38" s="324"/>
      <c r="M38" s="324"/>
      <c r="N38" s="324"/>
      <c r="O38" s="324"/>
      <c r="P38" s="231"/>
    </row>
    <row r="39" spans="2:16" ht="15">
      <c r="C39" s="656" t="s">
        <v>562</v>
      </c>
      <c r="D39" s="324"/>
      <c r="E39" s="827">
        <f>TCOS!L180</f>
        <v>920905.71114013146</v>
      </c>
      <c r="F39" s="324"/>
      <c r="G39" s="324"/>
      <c r="H39" s="324"/>
      <c r="I39" s="324"/>
      <c r="J39" s="324"/>
      <c r="K39" s="324"/>
      <c r="L39" s="324"/>
      <c r="M39" s="324"/>
      <c r="N39" s="324"/>
      <c r="O39" s="324"/>
      <c r="P39" s="231"/>
    </row>
    <row r="40" spans="2:16" ht="15">
      <c r="C40" s="698" t="s">
        <v>66</v>
      </c>
      <c r="D40" s="324"/>
      <c r="E40" s="706">
        <f>E36+E37+E38+E39</f>
        <v>50791130.563325442</v>
      </c>
      <c r="F40" s="324"/>
      <c r="G40" s="324"/>
      <c r="H40" s="324"/>
      <c r="I40" s="324"/>
      <c r="J40" s="324"/>
      <c r="K40" s="324"/>
      <c r="L40" s="324"/>
      <c r="M40" s="324"/>
      <c r="N40" s="324"/>
      <c r="O40" s="324"/>
      <c r="P40" s="189"/>
    </row>
    <row r="41" spans="2:16" ht="12.75" customHeight="1">
      <c r="C41" s="240"/>
      <c r="D41" s="324"/>
      <c r="E41" s="324"/>
      <c r="F41" s="324"/>
      <c r="G41" s="324"/>
      <c r="H41" s="324"/>
      <c r="I41" s="324"/>
      <c r="J41" s="324"/>
      <c r="K41" s="324"/>
      <c r="L41" s="324"/>
      <c r="M41" s="324"/>
      <c r="N41" s="324"/>
      <c r="O41" s="324"/>
      <c r="P41" s="189"/>
    </row>
    <row r="42" spans="2:16" ht="18.75">
      <c r="B42" s="653" t="s">
        <v>472</v>
      </c>
      <c r="C42" s="652" t="str">
        <f>"Calculate Net Plant Carrying Charge Rate (Fixed Charge Rate or FCR) with hypothetical "&amp;F17&amp;""</f>
        <v>Calculate Net Plant Carrying Charge Rate (Fixed Charge Rate or FCR) with hypothetical 0</v>
      </c>
      <c r="D42" s="324"/>
      <c r="E42" s="324"/>
      <c r="F42" s="324"/>
      <c r="G42" s="324"/>
      <c r="H42" s="324"/>
      <c r="I42" s="324"/>
      <c r="J42" s="324"/>
      <c r="K42" s="324"/>
      <c r="L42" s="324"/>
      <c r="M42" s="324"/>
      <c r="N42" s="324"/>
      <c r="O42" s="324"/>
      <c r="P42" s="189"/>
    </row>
    <row r="43" spans="2:16" ht="18.75" customHeight="1">
      <c r="C43" s="652" t="str">
        <f>"basis point ROE increase."</f>
        <v>basis point ROE increase.</v>
      </c>
      <c r="D43" s="324"/>
      <c r="E43" s="324"/>
      <c r="F43" s="324"/>
      <c r="G43" s="324"/>
      <c r="H43" s="324"/>
      <c r="I43" s="324"/>
      <c r="J43" s="324"/>
      <c r="K43" s="324"/>
      <c r="L43" s="324"/>
      <c r="M43" s="324"/>
      <c r="N43" s="324"/>
      <c r="O43" s="324"/>
      <c r="P43" s="189"/>
    </row>
    <row r="44" spans="2:16" ht="12.75" customHeight="1">
      <c r="C44" s="652"/>
      <c r="D44" s="324"/>
      <c r="E44" s="324"/>
      <c r="F44" s="324"/>
      <c r="G44" s="324"/>
      <c r="H44" s="324"/>
      <c r="I44" s="324"/>
      <c r="J44" s="324"/>
      <c r="K44" s="324"/>
      <c r="L44" s="324"/>
      <c r="M44" s="324"/>
      <c r="N44" s="324"/>
      <c r="O44" s="324"/>
      <c r="P44" s="189"/>
    </row>
    <row r="45" spans="2:16" ht="15.75">
      <c r="C45" s="655" t="s">
        <v>263</v>
      </c>
      <c r="D45" s="324"/>
      <c r="E45" s="324"/>
      <c r="F45" s="323"/>
      <c r="G45" s="323"/>
      <c r="H45" s="324"/>
      <c r="I45" s="324"/>
      <c r="J45" s="324"/>
      <c r="K45" s="324"/>
      <c r="L45" s="324"/>
      <c r="M45" s="324"/>
      <c r="N45" s="324"/>
      <c r="O45" s="324"/>
      <c r="P45" s="189"/>
    </row>
    <row r="46" spans="2:16">
      <c r="B46" s="346"/>
      <c r="C46" s="708"/>
      <c r="D46" s="709"/>
      <c r="E46" s="709"/>
      <c r="F46" s="709"/>
      <c r="G46" s="709"/>
      <c r="H46" s="709"/>
      <c r="I46" s="709"/>
      <c r="J46" s="709"/>
      <c r="K46" s="709"/>
      <c r="L46" s="709"/>
      <c r="M46" s="709"/>
      <c r="N46" s="709"/>
      <c r="O46" s="709"/>
      <c r="P46" s="706"/>
    </row>
    <row r="47" spans="2:16" ht="12.75" customHeight="1">
      <c r="B47" s="346"/>
      <c r="C47" s="656" t="str">
        <f>"   Annual Revenue Requirement  (TCOS, ln "&amp;TCOS!B13&amp;")"</f>
        <v xml:space="preserve">   Annual Revenue Requirement  (TCOS, ln 1)</v>
      </c>
      <c r="D47" s="709"/>
      <c r="E47" s="709"/>
      <c r="F47" s="706">
        <f>TCOS!L13</f>
        <v>378481541.94181567</v>
      </c>
      <c r="G47" s="706"/>
      <c r="H47" s="828" t="s">
        <v>416</v>
      </c>
      <c r="I47" s="709"/>
      <c r="J47" s="709"/>
      <c r="K47" s="709"/>
      <c r="L47" s="709"/>
      <c r="M47" s="709"/>
      <c r="N47" s="709"/>
      <c r="O47" s="709"/>
      <c r="P47" s="706"/>
    </row>
    <row r="48" spans="2:16" ht="12.75" customHeight="1">
      <c r="B48" s="346"/>
      <c r="C48" s="710" t="str">
        <f>"   Lease Payments (TCOS, Lns "&amp;TCOS!B150&amp;")"</f>
        <v xml:space="preserve">   Lease Payments (TCOS, Lns 80)</v>
      </c>
      <c r="D48" s="709"/>
      <c r="E48" s="709"/>
      <c r="F48" s="706">
        <f>TCOS!L150</f>
        <v>0</v>
      </c>
      <c r="G48" s="706"/>
      <c r="H48" s="828"/>
      <c r="I48" s="709"/>
      <c r="J48" s="709"/>
      <c r="K48" s="709"/>
      <c r="L48" s="709"/>
      <c r="M48" s="709"/>
      <c r="N48" s="709"/>
      <c r="O48" s="709"/>
      <c r="P48" s="706"/>
    </row>
    <row r="49" spans="2:16">
      <c r="B49" s="346"/>
      <c r="C49" s="656" t="str">
        <f>"   Return  (TCOS, ln "&amp;TCOS!B183&amp;")"</f>
        <v xml:space="preserve">   Return  (TCOS, ln 109)</v>
      </c>
      <c r="D49" s="709"/>
      <c r="E49" s="709"/>
      <c r="F49" s="711">
        <f>TCOS!L183</f>
        <v>186541065.087632</v>
      </c>
      <c r="G49" s="711"/>
      <c r="H49" s="712"/>
      <c r="I49" s="712"/>
      <c r="J49" s="712"/>
      <c r="K49" s="712"/>
      <c r="L49" s="712"/>
      <c r="M49" s="712"/>
      <c r="N49" s="712"/>
      <c r="O49" s="712"/>
      <c r="P49" s="706"/>
    </row>
    <row r="50" spans="2:16">
      <c r="B50" s="346"/>
      <c r="C50" s="656" t="str">
        <f>"   Income Taxes  (TCOS, ln "&amp;TCOS!B181&amp;")"</f>
        <v xml:space="preserve">   Income Taxes  (TCOS, ln 108)</v>
      </c>
      <c r="D50" s="709"/>
      <c r="E50" s="709"/>
      <c r="F50" s="713">
        <f>TCOS!L181</f>
        <v>50522979.281713709</v>
      </c>
      <c r="G50" s="713"/>
      <c r="H50" s="709"/>
      <c r="I50" s="709"/>
      <c r="J50" s="714"/>
      <c r="K50" s="714"/>
      <c r="L50" s="714"/>
      <c r="M50" s="714"/>
      <c r="N50" s="714"/>
      <c r="O50" s="714"/>
      <c r="P50" s="709"/>
    </row>
    <row r="51" spans="2:16" ht="12.6" customHeight="1">
      <c r="B51" s="346"/>
      <c r="C51" s="1568" t="s">
        <v>623</v>
      </c>
      <c r="D51" s="1568"/>
      <c r="E51" s="709"/>
      <c r="F51" s="711">
        <f>F47-F49-F50-F48</f>
        <v>141417497.57246995</v>
      </c>
      <c r="G51" s="711"/>
      <c r="H51" s="715"/>
      <c r="I51" s="709"/>
      <c r="J51" s="715"/>
      <c r="K51" s="715"/>
      <c r="L51" s="715"/>
      <c r="M51" s="715"/>
      <c r="N51" s="715"/>
      <c r="O51" s="715"/>
      <c r="P51" s="715"/>
    </row>
    <row r="52" spans="2:16">
      <c r="B52" s="346"/>
      <c r="C52" s="1568"/>
      <c r="D52" s="1568"/>
      <c r="E52" s="709"/>
      <c r="F52" s="706"/>
      <c r="G52" s="706"/>
      <c r="H52" s="716"/>
      <c r="I52" s="717"/>
      <c r="J52" s="717"/>
      <c r="K52" s="717"/>
      <c r="L52" s="717"/>
      <c r="M52" s="717"/>
      <c r="N52" s="717"/>
      <c r="O52" s="717"/>
      <c r="P52" s="717"/>
    </row>
    <row r="53" spans="2:16" ht="15.75">
      <c r="B53" s="346"/>
      <c r="C53" s="655" t="str">
        <f>"B.   Determine Annual Revenue Requirement with hypothetical "&amp;F17&amp;" basis point increase in ROE."</f>
        <v>B.   Determine Annual Revenue Requirement with hypothetical 0 basis point increase in ROE.</v>
      </c>
      <c r="D53" s="718"/>
      <c r="E53" s="718"/>
      <c r="F53" s="706"/>
      <c r="G53" s="706"/>
      <c r="H53" s="716"/>
      <c r="I53" s="717"/>
      <c r="J53" s="717"/>
      <c r="K53" s="717"/>
      <c r="L53" s="717"/>
      <c r="M53" s="717"/>
      <c r="N53" s="717"/>
      <c r="O53" s="717"/>
      <c r="P53" s="717"/>
    </row>
    <row r="54" spans="2:16">
      <c r="B54" s="346"/>
      <c r="C54" s="708"/>
      <c r="D54" s="718"/>
      <c r="E54" s="718"/>
      <c r="F54" s="706"/>
      <c r="G54" s="706"/>
      <c r="H54" s="716"/>
      <c r="I54" s="717"/>
      <c r="J54" s="717"/>
      <c r="K54" s="717"/>
      <c r="L54" s="717"/>
      <c r="M54" s="717"/>
      <c r="N54" s="717"/>
      <c r="O54" s="717"/>
      <c r="P54" s="717"/>
    </row>
    <row r="55" spans="2:16">
      <c r="B55" s="346"/>
      <c r="C55" s="710" t="str">
        <f>C51</f>
        <v xml:space="preserve">   Annual Revenue Requirement, Less Lease Payments, Return and Taxes</v>
      </c>
      <c r="D55" s="718"/>
      <c r="E55" s="718"/>
      <c r="F55" s="706">
        <f>F51</f>
        <v>141417497.57246995</v>
      </c>
      <c r="G55" s="706"/>
      <c r="H55" s="709"/>
      <c r="I55" s="709"/>
      <c r="J55" s="709"/>
      <c r="K55" s="709"/>
      <c r="L55" s="709"/>
      <c r="M55" s="709"/>
      <c r="N55" s="709"/>
      <c r="O55" s="709"/>
      <c r="P55" s="719"/>
    </row>
    <row r="56" spans="2:16">
      <c r="B56" s="346"/>
      <c r="C56" s="660" t="s">
        <v>104</v>
      </c>
      <c r="D56" s="720"/>
      <c r="E56" s="721"/>
      <c r="F56" s="722">
        <f>E30</f>
        <v>187582845.80203646</v>
      </c>
      <c r="G56" s="722"/>
      <c r="H56" s="721"/>
      <c r="I56" s="829"/>
      <c r="J56" s="721"/>
      <c r="K56" s="721"/>
      <c r="L56" s="721"/>
      <c r="M56" s="721"/>
      <c r="N56" s="721"/>
      <c r="O56" s="721"/>
      <c r="P56" s="721"/>
    </row>
    <row r="57" spans="2:16" ht="12.75" customHeight="1">
      <c r="B57" s="346"/>
      <c r="C57" s="656" t="s">
        <v>72</v>
      </c>
      <c r="D57" s="709"/>
      <c r="E57" s="709"/>
      <c r="F57" s="713">
        <f>E40</f>
        <v>50791130.563325442</v>
      </c>
      <c r="G57" s="713"/>
      <c r="H57" s="313"/>
      <c r="I57" s="704"/>
      <c r="J57" s="313"/>
      <c r="K57" s="423"/>
    </row>
    <row r="58" spans="2:16">
      <c r="B58" s="346"/>
      <c r="C58" s="721" t="str">
        <f>"   Annual Revenue Requirement, with "&amp;F17&amp;" Basis Point ROE increase"</f>
        <v xml:space="preserve">   Annual Revenue Requirement, with 0 Basis Point ROE increase</v>
      </c>
      <c r="D58" s="534"/>
      <c r="E58" s="313"/>
      <c r="F58" s="705">
        <f>SUM(F55:F57)</f>
        <v>379791473.93783188</v>
      </c>
      <c r="G58" s="705"/>
      <c r="H58" s="313"/>
      <c r="I58" s="704"/>
      <c r="J58" s="313"/>
      <c r="K58" s="423"/>
    </row>
    <row r="59" spans="2:16">
      <c r="B59" s="346"/>
      <c r="C59" s="656" t="str">
        <f>"   Depreciation  (TCOS, ln "&amp;TCOS!B154&amp;")"</f>
        <v xml:space="preserve">   Depreciation  (TCOS, ln 83)</v>
      </c>
      <c r="D59" s="534"/>
      <c r="E59" s="313"/>
      <c r="F59" s="723">
        <f>TCOS!L154</f>
        <v>73238416.29615666</v>
      </c>
      <c r="G59" s="723"/>
      <c r="H59" s="705"/>
      <c r="I59" s="704"/>
      <c r="J59" s="313"/>
      <c r="K59" s="423"/>
    </row>
    <row r="60" spans="2:16" ht="12.6" customHeight="1">
      <c r="B60" s="346"/>
      <c r="C60" s="1569" t="str">
        <f>"   Annual Rev. Req, w/ "&amp;F17&amp;" Basis Point ROE increase, less Depreciation"</f>
        <v xml:space="preserve">   Annual Rev. Req, w/ 0 Basis Point ROE increase, less Depreciation</v>
      </c>
      <c r="D60" s="1569"/>
      <c r="E60" s="313"/>
      <c r="F60" s="705">
        <f>F58-F59</f>
        <v>306553057.64167523</v>
      </c>
      <c r="G60" s="705"/>
      <c r="H60" s="313"/>
      <c r="I60" s="704"/>
      <c r="J60" s="313"/>
      <c r="K60" s="423"/>
    </row>
    <row r="61" spans="2:16">
      <c r="B61" s="346"/>
      <c r="C61" s="1569"/>
      <c r="D61" s="1569"/>
      <c r="E61" s="313"/>
      <c r="F61" s="313"/>
      <c r="G61" s="313"/>
      <c r="H61" s="313"/>
      <c r="I61" s="704"/>
      <c r="J61" s="313"/>
      <c r="K61" s="423"/>
    </row>
    <row r="62" spans="2:16" ht="15.75">
      <c r="B62" s="346"/>
      <c r="C62" s="655" t="str">
        <f>"C.   Determine FCR with hypothetical "&amp;F17&amp;" basis point ROE increase."</f>
        <v>C.   Determine FCR with hypothetical 0 basis point ROE increase.</v>
      </c>
      <c r="D62" s="534"/>
      <c r="E62" s="313"/>
      <c r="F62" s="313"/>
      <c r="G62" s="313"/>
      <c r="H62" s="313"/>
      <c r="I62" s="704"/>
      <c r="J62" s="313"/>
      <c r="K62" s="423"/>
    </row>
    <row r="63" spans="2:16">
      <c r="B63" s="346"/>
      <c r="C63" s="313"/>
      <c r="D63" s="534"/>
      <c r="E63" s="313"/>
      <c r="F63" s="313"/>
      <c r="G63" s="313"/>
      <c r="H63" s="313"/>
      <c r="I63" s="704"/>
      <c r="J63" s="313"/>
      <c r="K63" s="423"/>
    </row>
    <row r="64" spans="2:16">
      <c r="B64" s="346"/>
      <c r="C64" s="656" t="str">
        <f>"   Net Transmission Plant  (Projected TCOS, ln "&amp;TCOS!B79&amp;")"</f>
        <v xml:space="preserve">   Net Transmission Plant  (Projected TCOS, ln 33)</v>
      </c>
      <c r="D64" s="534"/>
      <c r="E64" s="313"/>
      <c r="F64" s="705">
        <f>TCOS!L79</f>
        <v>2639366227.7634301</v>
      </c>
      <c r="G64" s="705"/>
      <c r="H64" s="705"/>
      <c r="I64" s="830"/>
      <c r="J64" s="313"/>
      <c r="K64" s="423"/>
    </row>
    <row r="65" spans="2:16">
      <c r="B65" s="346"/>
      <c r="C65" s="721" t="str">
        <f>"   Annual Revenue Requirement, with "&amp;F17&amp;" Basis Point ROE increase"</f>
        <v xml:space="preserve">   Annual Revenue Requirement, with 0 Basis Point ROE increase</v>
      </c>
      <c r="D65" s="534"/>
      <c r="E65" s="313"/>
      <c r="F65" s="705">
        <f>F58</f>
        <v>379791473.93783188</v>
      </c>
      <c r="G65" s="705"/>
      <c r="H65" s="313"/>
      <c r="I65" s="704"/>
      <c r="J65" s="313"/>
      <c r="K65" s="423"/>
    </row>
    <row r="66" spans="2:16">
      <c r="B66" s="346"/>
      <c r="C66" s="721" t="str">
        <f>"   FCR with "&amp;F17&amp;" Basis Point increase in ROE"</f>
        <v xml:space="preserve">   FCR with 0 Basis Point increase in ROE</v>
      </c>
      <c r="D66" s="534"/>
      <c r="E66" s="313"/>
      <c r="F66" s="703">
        <f>IF(F64=0,0,F65/F64)</f>
        <v>0.14389495097073474</v>
      </c>
      <c r="G66" s="703"/>
      <c r="H66" s="703"/>
      <c r="I66" s="704"/>
      <c r="J66" s="313"/>
      <c r="K66" s="423"/>
    </row>
    <row r="67" spans="2:16">
      <c r="B67" s="346"/>
      <c r="C67" s="209"/>
      <c r="D67" s="534"/>
      <c r="E67" s="313"/>
      <c r="F67" s="346"/>
      <c r="G67" s="346"/>
      <c r="H67" s="313"/>
      <c r="I67" s="704"/>
      <c r="J67" s="313"/>
      <c r="K67" s="423"/>
    </row>
    <row r="68" spans="2:16">
      <c r="B68" s="346"/>
      <c r="C68" s="721" t="str">
        <f>"   Annual Rev. Req, w / "&amp;F17&amp;" Basis Point ROE increase, less Dep."</f>
        <v xml:space="preserve">   Annual Rev. Req, w / 0 Basis Point ROE increase, less Dep.</v>
      </c>
      <c r="D68" s="534"/>
      <c r="E68" s="313"/>
      <c r="F68" s="705">
        <f>F60</f>
        <v>306553057.64167523</v>
      </c>
      <c r="G68" s="705"/>
      <c r="H68" s="313"/>
      <c r="I68" s="704"/>
      <c r="J68" s="313"/>
      <c r="K68" s="423"/>
    </row>
    <row r="69" spans="2:16">
      <c r="B69" s="346"/>
      <c r="C69" s="721" t="str">
        <f>"   FCR with "&amp;F17&amp;" Basis Point ROE increase, less Depreciation"</f>
        <v xml:space="preserve">   FCR with 0 Basis Point ROE increase, less Depreciation</v>
      </c>
      <c r="D69" s="534"/>
      <c r="E69" s="313"/>
      <c r="F69" s="703">
        <f>IF(F68=0,0,F68/F64)</f>
        <v>0.11614646516919515</v>
      </c>
      <c r="G69" s="703"/>
      <c r="H69" s="313"/>
      <c r="I69" s="704"/>
      <c r="J69" s="313"/>
      <c r="K69" s="423"/>
    </row>
    <row r="70" spans="2:16">
      <c r="B70" s="346"/>
      <c r="C70" s="656" t="str">
        <f>"   FCR less Depreciation  (TCOS, ln "&amp;TCOS!B31&amp;")"</f>
        <v xml:space="preserve">   FCR less Depreciation  (TCOS, ln 10)</v>
      </c>
      <c r="D70" s="534"/>
      <c r="E70" s="313"/>
      <c r="F70" s="725">
        <f>TCOS!L31</f>
        <v>0.11565015966136639</v>
      </c>
      <c r="G70" s="725"/>
      <c r="H70" s="313"/>
      <c r="I70" s="704"/>
      <c r="J70" s="313"/>
      <c r="K70" s="423"/>
    </row>
    <row r="71" spans="2:16" ht="12.6" customHeight="1">
      <c r="B71" s="346"/>
      <c r="C71" s="1569" t="str">
        <f>"   Incremental FCR with "&amp;F17&amp;" Basis Point ROE increase, less Depreciation"</f>
        <v xml:space="preserve">   Incremental FCR with 0 Basis Point ROE increase, less Depreciation</v>
      </c>
      <c r="D71" s="1569"/>
      <c r="E71" s="313"/>
      <c r="F71" s="703">
        <f>F69-F70</f>
        <v>4.9630550782875371E-4</v>
      </c>
      <c r="G71" s="703"/>
      <c r="H71" s="313"/>
      <c r="I71" s="704"/>
      <c r="J71" s="313"/>
      <c r="K71" s="423"/>
    </row>
    <row r="72" spans="2:16">
      <c r="B72" s="346"/>
      <c r="C72" s="1569"/>
      <c r="D72" s="1569"/>
      <c r="E72" s="313"/>
      <c r="F72" s="703"/>
      <c r="G72" s="703"/>
      <c r="H72" s="313"/>
      <c r="I72" s="704"/>
      <c r="J72" s="313"/>
      <c r="K72" s="423"/>
    </row>
    <row r="73" spans="2:16" ht="18.75">
      <c r="B73" s="653" t="s">
        <v>473</v>
      </c>
      <c r="C73" s="652" t="s">
        <v>73</v>
      </c>
      <c r="D73" s="534"/>
      <c r="E73" s="313"/>
      <c r="F73" s="703"/>
      <c r="G73" s="703"/>
      <c r="H73" s="313"/>
      <c r="I73" s="704"/>
      <c r="J73" s="313"/>
      <c r="K73" s="423"/>
    </row>
    <row r="74" spans="2:16">
      <c r="B74" s="346"/>
      <c r="C74" s="721"/>
      <c r="D74" s="534"/>
      <c r="E74" s="313"/>
      <c r="F74" s="703"/>
      <c r="G74" s="703"/>
      <c r="H74" s="313"/>
      <c r="I74" s="704"/>
      <c r="J74" s="313"/>
      <c r="K74" s="423"/>
    </row>
    <row r="75" spans="2:16">
      <c r="B75" s="346"/>
      <c r="C75" s="721" t="str">
        <f>+"Average Transmission Plant Balance for "&amp;TCOS!L4&amp;" TCOS, ln "&amp;TCOS!B63</f>
        <v>Average Transmission Plant Balance for 2021 TCOS, ln 19</v>
      </c>
      <c r="D75" s="534"/>
      <c r="E75" s="313"/>
      <c r="F75" s="313"/>
      <c r="G75" s="313"/>
      <c r="H75" s="704">
        <f>TCOS!L63</f>
        <v>2823517874.4000001</v>
      </c>
      <c r="J75" s="313"/>
      <c r="K75" s="423"/>
    </row>
    <row r="76" spans="2:16">
      <c r="B76" s="346"/>
      <c r="C76" s="721" t="str">
        <f>"Annual Depreciation and Amortization Expense (TCOS, ln "&amp;TCOS!B154&amp;")"</f>
        <v>Annual Depreciation and Amortization Expense (TCOS, ln 83)</v>
      </c>
      <c r="D76" s="534"/>
      <c r="E76" s="313"/>
      <c r="H76" s="486">
        <f>TCOS!L154</f>
        <v>73238416.29615666</v>
      </c>
      <c r="I76" s="704"/>
      <c r="J76" s="313"/>
      <c r="K76" s="423"/>
    </row>
    <row r="77" spans="2:16" ht="12.6" customHeight="1">
      <c r="B77" s="346"/>
      <c r="C77" s="721" t="s">
        <v>74</v>
      </c>
      <c r="D77" s="534"/>
      <c r="E77" s="313"/>
      <c r="H77" s="895">
        <f>H76/H75</f>
        <v>2.5938711761022547E-2</v>
      </c>
      <c r="I77" s="727"/>
      <c r="J77" s="1561"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61"/>
      <c r="L77" s="1561"/>
      <c r="M77" s="1561"/>
      <c r="N77" s="1561"/>
      <c r="O77" s="1561"/>
      <c r="P77" s="1561"/>
    </row>
    <row r="78" spans="2:16">
      <c r="B78" s="346"/>
      <c r="C78" s="721" t="s">
        <v>75</v>
      </c>
      <c r="D78" s="534"/>
      <c r="E78" s="313"/>
      <c r="H78" s="728">
        <f>IF(H77=0,0,1/H77)</f>
        <v>38.552415756540192</v>
      </c>
      <c r="I78" s="704"/>
      <c r="J78" s="1561"/>
      <c r="K78" s="1561"/>
      <c r="L78" s="1561"/>
      <c r="M78" s="1561"/>
      <c r="N78" s="1561"/>
      <c r="O78" s="1561"/>
      <c r="P78" s="1561"/>
    </row>
    <row r="79" spans="2:16">
      <c r="B79" s="346"/>
      <c r="C79" s="721" t="s">
        <v>598</v>
      </c>
      <c r="D79" s="534"/>
      <c r="E79" s="313"/>
      <c r="H79" s="730">
        <f>ROUND(H78,0)</f>
        <v>39</v>
      </c>
      <c r="I79" s="704"/>
      <c r="J79" s="1561"/>
      <c r="K79" s="1561"/>
      <c r="L79" s="1561"/>
      <c r="M79" s="1561"/>
      <c r="N79" s="1561"/>
      <c r="O79" s="1561"/>
      <c r="P79" s="1561"/>
    </row>
    <row r="80" spans="2:16">
      <c r="B80" s="346"/>
      <c r="C80" s="721"/>
      <c r="D80" s="534"/>
      <c r="E80" s="313"/>
      <c r="H80" s="730"/>
      <c r="I80" s="704"/>
      <c r="J80" s="1561"/>
      <c r="K80" s="1561"/>
      <c r="L80" s="1561"/>
      <c r="M80" s="1561"/>
      <c r="N80" s="1561"/>
      <c r="O80" s="1561"/>
      <c r="P80" s="1561"/>
    </row>
    <row r="81" spans="1:17" ht="20.25">
      <c r="A81" s="733" t="str">
        <f>""&amp;A6&amp;" Worksheet K -  ATRR TRUE-UP Calculation for PJM Projects Charged to Benefiting Zones"</f>
        <v>AEP Indiana Michigan Transmission Company Worksheet K -  ATRR TRUE-UP Calculation for PJM Projects Charged to Benefiting Zones</v>
      </c>
      <c r="B81" s="346"/>
      <c r="C81" s="721"/>
      <c r="D81" s="534"/>
      <c r="E81" s="313"/>
      <c r="F81" s="703"/>
      <c r="G81" s="703"/>
      <c r="H81" s="313"/>
      <c r="I81" s="704"/>
      <c r="L81" s="560"/>
      <c r="M81" s="560"/>
      <c r="N81" s="560"/>
      <c r="O81" s="649" t="str">
        <f>"Page "&amp;SUM(Q$8:Q81)&amp;" of "</f>
        <v xml:space="preserve">Page 1 of </v>
      </c>
      <c r="P81" s="650">
        <f>COUNT(Q$8:Q$56657)</f>
        <v>10</v>
      </c>
      <c r="Q81" s="173">
        <v>1</v>
      </c>
    </row>
    <row r="82" spans="1:17">
      <c r="B82" s="346"/>
      <c r="C82" s="313"/>
      <c r="D82" s="534"/>
      <c r="E82" s="313"/>
      <c r="F82" s="313"/>
      <c r="G82" s="313"/>
      <c r="H82" s="313"/>
      <c r="I82" s="704"/>
      <c r="J82" s="313"/>
      <c r="K82" s="423"/>
    </row>
    <row r="83" spans="1:17" ht="18">
      <c r="B83" s="653" t="s">
        <v>474</v>
      </c>
      <c r="C83" s="735" t="s">
        <v>95</v>
      </c>
      <c r="D83" s="534"/>
      <c r="E83" s="313"/>
      <c r="F83" s="313"/>
      <c r="G83" s="313"/>
      <c r="H83" s="313"/>
      <c r="I83" s="704"/>
      <c r="J83" s="704"/>
      <c r="K83" s="726"/>
      <c r="L83" s="704"/>
      <c r="M83" s="704"/>
      <c r="N83" s="704"/>
      <c r="O83" s="704"/>
    </row>
    <row r="84" spans="1:17" ht="18.75">
      <c r="B84" s="653"/>
      <c r="C84" s="652"/>
      <c r="D84" s="534"/>
      <c r="E84" s="313"/>
      <c r="F84" s="313"/>
      <c r="G84" s="313"/>
      <c r="H84" s="313"/>
      <c r="I84" s="704"/>
      <c r="J84" s="704"/>
      <c r="K84" s="726"/>
      <c r="L84" s="704"/>
      <c r="M84" s="704"/>
      <c r="N84" s="704"/>
      <c r="O84" s="704"/>
    </row>
    <row r="85" spans="1:17" ht="18.75">
      <c r="B85" s="653"/>
      <c r="C85" s="652" t="s">
        <v>96</v>
      </c>
      <c r="D85" s="534"/>
      <c r="E85" s="313"/>
      <c r="F85" s="313"/>
      <c r="G85" s="313"/>
      <c r="H85" s="313"/>
      <c r="I85" s="704"/>
      <c r="J85" s="704"/>
      <c r="K85" s="726"/>
      <c r="L85" s="704"/>
      <c r="M85" s="704"/>
      <c r="N85" s="704"/>
      <c r="O85" s="704"/>
    </row>
    <row r="86" spans="1:17" ht="15.75" thickBot="1">
      <c r="C86" s="240"/>
      <c r="D86" s="534"/>
      <c r="E86" s="313"/>
      <c r="F86" s="313"/>
      <c r="G86" s="313"/>
      <c r="H86" s="313"/>
      <c r="I86" s="704"/>
      <c r="J86" s="704"/>
      <c r="K86" s="726"/>
      <c r="L86" s="704"/>
      <c r="M86" s="704"/>
      <c r="N86" s="704"/>
      <c r="O86" s="704"/>
    </row>
    <row r="87" spans="1:17" ht="15.75">
      <c r="C87" s="655" t="s">
        <v>97</v>
      </c>
      <c r="D87" s="534"/>
      <c r="E87" s="313"/>
      <c r="F87" s="313"/>
      <c r="G87" s="313"/>
      <c r="H87" s="802"/>
      <c r="I87" s="313" t="s">
        <v>76</v>
      </c>
      <c r="J87" s="313"/>
      <c r="K87" s="423"/>
      <c r="L87" s="831">
        <f>+J93</f>
        <v>2021</v>
      </c>
      <c r="M87" s="812" t="s">
        <v>54</v>
      </c>
      <c r="N87" s="812" t="s">
        <v>55</v>
      </c>
      <c r="O87" s="813" t="s">
        <v>57</v>
      </c>
    </row>
    <row r="88" spans="1:17" ht="15.75">
      <c r="C88" s="655"/>
      <c r="D88" s="534"/>
      <c r="E88" s="313"/>
      <c r="F88" s="313"/>
      <c r="H88" s="313"/>
      <c r="I88" s="740"/>
      <c r="J88" s="740"/>
      <c r="K88" s="741"/>
      <c r="L88" s="832" t="s">
        <v>245</v>
      </c>
      <c r="M88" s="833">
        <f>VLOOKUP(J93,C100:P159,10)</f>
        <v>734291.1289593752</v>
      </c>
      <c r="N88" s="833">
        <f>VLOOKUP(J93,C100:P159,12)</f>
        <v>734291.1289593752</v>
      </c>
      <c r="O88" s="834">
        <f>+N88-M88</f>
        <v>0</v>
      </c>
    </row>
    <row r="89" spans="1:17">
      <c r="C89" s="745" t="s">
        <v>98</v>
      </c>
      <c r="D89" s="1572" t="s">
        <v>815</v>
      </c>
      <c r="E89" s="1572"/>
      <c r="F89" s="1572"/>
      <c r="G89" s="1572"/>
      <c r="H89" s="1572"/>
      <c r="I89" s="1572"/>
      <c r="J89" s="704"/>
      <c r="K89" s="726"/>
      <c r="L89" s="832" t="s">
        <v>246</v>
      </c>
      <c r="M89" s="835">
        <f>VLOOKUP(J93,C100:P159,6)</f>
        <v>770343.89841407398</v>
      </c>
      <c r="N89" s="835">
        <f>VLOOKUP(J93,C100:P159,7)</f>
        <v>770343.89841407398</v>
      </c>
      <c r="O89" s="836">
        <f>+N89-M89</f>
        <v>0</v>
      </c>
    </row>
    <row r="90" spans="1:17" ht="13.5" thickBot="1">
      <c r="C90" s="749"/>
      <c r="D90" s="750"/>
      <c r="E90" s="730"/>
      <c r="F90" s="730"/>
      <c r="G90" s="730"/>
      <c r="H90" s="751"/>
      <c r="I90" s="704"/>
      <c r="J90" s="704"/>
      <c r="K90" s="726"/>
      <c r="L90" s="768" t="s">
        <v>247</v>
      </c>
      <c r="M90" s="837">
        <f>+M89-M88</f>
        <v>36052.769454698777</v>
      </c>
      <c r="N90" s="837">
        <f>+N89-N88</f>
        <v>36052.769454698777</v>
      </c>
      <c r="O90" s="838">
        <f>+O89-O88</f>
        <v>0</v>
      </c>
    </row>
    <row r="91" spans="1:17" ht="13.5" thickBot="1">
      <c r="C91" s="752"/>
      <c r="D91" s="753"/>
      <c r="E91" s="751"/>
      <c r="F91" s="751"/>
      <c r="G91" s="751"/>
      <c r="H91" s="751"/>
      <c r="I91" s="751"/>
      <c r="J91" s="751"/>
      <c r="K91" s="754"/>
      <c r="L91" s="751"/>
      <c r="M91" s="751"/>
      <c r="N91" s="751"/>
      <c r="O91" s="751"/>
      <c r="P91" s="346"/>
    </row>
    <row r="92" spans="1:17" ht="13.5" thickBot="1">
      <c r="C92" s="755" t="s">
        <v>99</v>
      </c>
      <c r="D92" s="756"/>
      <c r="E92" s="756"/>
      <c r="F92" s="756"/>
      <c r="G92" s="756"/>
      <c r="H92" s="756"/>
      <c r="I92" s="756"/>
      <c r="J92" s="756"/>
      <c r="K92" s="758"/>
      <c r="P92" s="759"/>
    </row>
    <row r="93" spans="1:17" ht="15">
      <c r="C93" s="760" t="s">
        <v>77</v>
      </c>
      <c r="D93" s="804">
        <v>6636011.2699999996</v>
      </c>
      <c r="E93" s="721" t="s">
        <v>78</v>
      </c>
      <c r="H93" s="761"/>
      <c r="I93" s="761"/>
      <c r="J93" s="762">
        <v>2021</v>
      </c>
      <c r="K93" s="550"/>
      <c r="L93" s="1558" t="s">
        <v>79</v>
      </c>
      <c r="M93" s="1558"/>
      <c r="N93" s="1558"/>
      <c r="O93" s="1558"/>
      <c r="P93" s="423"/>
    </row>
    <row r="94" spans="1:17">
      <c r="C94" s="760" t="s">
        <v>80</v>
      </c>
      <c r="D94" s="805">
        <v>2012</v>
      </c>
      <c r="E94" s="760" t="s">
        <v>81</v>
      </c>
      <c r="F94" s="761"/>
      <c r="G94" s="761"/>
      <c r="I94" s="173"/>
      <c r="J94" s="806">
        <f>IF(H87="",0,$F$17)</f>
        <v>0</v>
      </c>
      <c r="K94" s="763"/>
      <c r="L94" s="726" t="s">
        <v>287</v>
      </c>
      <c r="P94" s="423"/>
    </row>
    <row r="95" spans="1:17">
      <c r="C95" s="760" t="s">
        <v>82</v>
      </c>
      <c r="D95" s="804">
        <v>12</v>
      </c>
      <c r="E95" s="760" t="s">
        <v>83</v>
      </c>
      <c r="F95" s="761"/>
      <c r="G95" s="761"/>
      <c r="I95" s="173"/>
      <c r="J95" s="764">
        <f>$F$70</f>
        <v>0.11565015966136639</v>
      </c>
      <c r="K95" s="765"/>
      <c r="L95" s="313" t="str">
        <f>"          INPUT TRUE-UP ARR (WITH &amp; WITHOUT INCENTIVES) FROM EACH PRIOR YEAR"</f>
        <v xml:space="preserve">          INPUT TRUE-UP ARR (WITH &amp; WITHOUT INCENTIVES) FROM EACH PRIOR YEAR</v>
      </c>
      <c r="P95" s="423"/>
    </row>
    <row r="96" spans="1:17">
      <c r="C96" s="760" t="s">
        <v>84</v>
      </c>
      <c r="D96" s="766">
        <f>H$79</f>
        <v>39</v>
      </c>
      <c r="E96" s="760" t="s">
        <v>85</v>
      </c>
      <c r="F96" s="761"/>
      <c r="G96" s="761"/>
      <c r="I96" s="173"/>
      <c r="J96" s="764">
        <f>IF(H87="",+J95,$F$69)</f>
        <v>0.11565015966136639</v>
      </c>
      <c r="K96" s="767"/>
      <c r="L96" s="313" t="s">
        <v>167</v>
      </c>
      <c r="M96" s="767"/>
      <c r="N96" s="767"/>
      <c r="O96" s="767"/>
      <c r="P96" s="423"/>
    </row>
    <row r="97" spans="2:16" ht="13.5" thickBot="1">
      <c r="C97" s="760" t="s">
        <v>86</v>
      </c>
      <c r="D97" s="1331" t="s">
        <v>814</v>
      </c>
      <c r="E97" s="768" t="s">
        <v>87</v>
      </c>
      <c r="F97" s="769"/>
      <c r="G97" s="769"/>
      <c r="H97" s="770"/>
      <c r="I97" s="770"/>
      <c r="J97" s="748">
        <f>IF(D93=0,0,D93/D96)</f>
        <v>170154.13512820512</v>
      </c>
      <c r="K97" s="726"/>
      <c r="L97" s="726" t="s">
        <v>168</v>
      </c>
      <c r="M97" s="726"/>
      <c r="N97" s="726"/>
      <c r="O97" s="726"/>
      <c r="P97" s="423"/>
    </row>
    <row r="98" spans="2:16" ht="38.25">
      <c r="B98" s="841"/>
      <c r="C98" s="771" t="s">
        <v>77</v>
      </c>
      <c r="D98" s="772" t="s">
        <v>88</v>
      </c>
      <c r="E98" s="773" t="s">
        <v>89</v>
      </c>
      <c r="F98" s="772" t="s">
        <v>90</v>
      </c>
      <c r="G98" s="772" t="s">
        <v>248</v>
      </c>
      <c r="H98" s="773" t="s">
        <v>161</v>
      </c>
      <c r="I98" s="774" t="s">
        <v>161</v>
      </c>
      <c r="J98" s="771" t="s">
        <v>100</v>
      </c>
      <c r="K98" s="775"/>
      <c r="L98" s="773" t="s">
        <v>163</v>
      </c>
      <c r="M98" s="773" t="s">
        <v>169</v>
      </c>
      <c r="N98" s="773" t="s">
        <v>163</v>
      </c>
      <c r="O98" s="773" t="s">
        <v>171</v>
      </c>
      <c r="P98" s="773" t="s">
        <v>91</v>
      </c>
    </row>
    <row r="99" spans="2:16" ht="13.5" thickBot="1">
      <c r="C99" s="777" t="s">
        <v>477</v>
      </c>
      <c r="D99" s="778" t="s">
        <v>478</v>
      </c>
      <c r="E99" s="777" t="s">
        <v>371</v>
      </c>
      <c r="F99" s="778" t="s">
        <v>478</v>
      </c>
      <c r="G99" s="778" t="s">
        <v>478</v>
      </c>
      <c r="H99" s="779" t="s">
        <v>103</v>
      </c>
      <c r="I99" s="780" t="s">
        <v>105</v>
      </c>
      <c r="J99" s="781" t="s">
        <v>17</v>
      </c>
      <c r="K99" s="782"/>
      <c r="L99" s="779" t="s">
        <v>92</v>
      </c>
      <c r="M99" s="779" t="s">
        <v>92</v>
      </c>
      <c r="N99" s="779" t="s">
        <v>265</v>
      </c>
      <c r="O99" s="779" t="s">
        <v>265</v>
      </c>
      <c r="P99" s="779" t="s">
        <v>265</v>
      </c>
    </row>
    <row r="100" spans="2:16">
      <c r="C100" s="784">
        <f>IF(D94= "","-",D94)</f>
        <v>2012</v>
      </c>
      <c r="D100" s="732">
        <f>+D93</f>
        <v>6636011.2699999996</v>
      </c>
      <c r="E100" s="790">
        <f>+J97/12*(12-D95)</f>
        <v>0</v>
      </c>
      <c r="F100" s="839">
        <f t="shared" ref="F100:F159" si="0">+D100-E100</f>
        <v>6636011.2699999996</v>
      </c>
      <c r="G100" s="732">
        <f>+(D100+F100)/2</f>
        <v>6636011.2699999996</v>
      </c>
      <c r="H100" s="786">
        <f>+J95*G100+E100</f>
        <v>767455.76289012667</v>
      </c>
      <c r="I100" s="787">
        <f>+J96*G100+E100</f>
        <v>767455.76289012667</v>
      </c>
      <c r="J100" s="788">
        <f>+I100-H100</f>
        <v>0</v>
      </c>
      <c r="K100" s="788"/>
      <c r="L100" s="807">
        <v>655785.85588061344</v>
      </c>
      <c r="M100" s="840">
        <v>99630</v>
      </c>
      <c r="N100" s="807">
        <v>655785.85588061344</v>
      </c>
      <c r="O100" s="840">
        <v>99630</v>
      </c>
      <c r="P100" s="840">
        <f t="shared" ref="P100:P159" si="1">+O100-M100</f>
        <v>0</v>
      </c>
    </row>
    <row r="101" spans="2:16">
      <c r="C101" s="784">
        <f>IF(D94="","-",+C100+1)</f>
        <v>2013</v>
      </c>
      <c r="D101" s="732">
        <f t="shared" ref="D101:D159" si="2">F100</f>
        <v>6636011.2699999996</v>
      </c>
      <c r="E101" s="785">
        <f>IF(D101&gt;$J$97,$J$97,D101)</f>
        <v>170154.13512820512</v>
      </c>
      <c r="F101" s="785">
        <f t="shared" si="0"/>
        <v>6465857.1348717948</v>
      </c>
      <c r="G101" s="732">
        <f t="shared" ref="G101:G159" si="3">+(D101+F101)/2</f>
        <v>6550934.2024358977</v>
      </c>
      <c r="H101" s="790">
        <f>+J95*G101+E101</f>
        <v>927770.72157102264</v>
      </c>
      <c r="I101" s="791">
        <f>+J96*G101+E101</f>
        <v>927770.72157102264</v>
      </c>
      <c r="J101" s="788">
        <f>+I101-H101</f>
        <v>0</v>
      </c>
      <c r="K101" s="788"/>
      <c r="L101" s="808">
        <v>758010</v>
      </c>
      <c r="M101" s="788">
        <v>85590</v>
      </c>
      <c r="N101" s="808">
        <v>758010</v>
      </c>
      <c r="O101" s="788">
        <v>85590</v>
      </c>
      <c r="P101" s="788">
        <f t="shared" si="1"/>
        <v>0</v>
      </c>
    </row>
    <row r="102" spans="2:16">
      <c r="C102" s="784">
        <f>IF(D94="","-",+C101+1)</f>
        <v>2014</v>
      </c>
      <c r="D102" s="732">
        <f t="shared" si="2"/>
        <v>6465857.1348717948</v>
      </c>
      <c r="E102" s="785">
        <f t="shared" ref="E102:E159" si="4">IF(D102&gt;$J$97,$J$97,D102)</f>
        <v>170154.13512820512</v>
      </c>
      <c r="F102" s="785">
        <f t="shared" si="0"/>
        <v>6295702.9997435901</v>
      </c>
      <c r="G102" s="732">
        <f t="shared" si="3"/>
        <v>6380780.067307692</v>
      </c>
      <c r="H102" s="790">
        <f>+J95*G102+E102</f>
        <v>908092.368676404</v>
      </c>
      <c r="I102" s="791">
        <f>+J96*G102+E102</f>
        <v>908092.368676404</v>
      </c>
      <c r="J102" s="788">
        <f t="shared" ref="J102:J159" si="5">+I102-H102</f>
        <v>0</v>
      </c>
      <c r="K102" s="788"/>
      <c r="L102" s="808">
        <v>735370</v>
      </c>
      <c r="M102" s="788">
        <v>97252</v>
      </c>
      <c r="N102" s="808">
        <v>735370</v>
      </c>
      <c r="O102" s="788">
        <v>97252</v>
      </c>
      <c r="P102" s="788">
        <f t="shared" si="1"/>
        <v>0</v>
      </c>
    </row>
    <row r="103" spans="2:16">
      <c r="C103" s="784">
        <f>IF(D94="","-",+C102+1)</f>
        <v>2015</v>
      </c>
      <c r="D103" s="732">
        <f t="shared" si="2"/>
        <v>6295702.9997435901</v>
      </c>
      <c r="E103" s="785">
        <f t="shared" si="4"/>
        <v>170154.13512820512</v>
      </c>
      <c r="F103" s="785">
        <f t="shared" si="0"/>
        <v>6125548.8646153854</v>
      </c>
      <c r="G103" s="732">
        <f t="shared" si="3"/>
        <v>6210625.9321794882</v>
      </c>
      <c r="H103" s="790">
        <f>+J95*G103+E103</f>
        <v>888414.01578178536</v>
      </c>
      <c r="I103" s="791">
        <f>+J96*G103+E103</f>
        <v>888414.01578178536</v>
      </c>
      <c r="J103" s="788">
        <f t="shared" si="5"/>
        <v>0</v>
      </c>
      <c r="K103" s="788"/>
      <c r="L103" s="808">
        <v>1351122</v>
      </c>
      <c r="M103" s="788">
        <v>-529479</v>
      </c>
      <c r="N103" s="808">
        <v>1351122</v>
      </c>
      <c r="O103" s="788">
        <v>-529479</v>
      </c>
      <c r="P103" s="788">
        <f t="shared" si="1"/>
        <v>0</v>
      </c>
    </row>
    <row r="104" spans="2:16">
      <c r="C104" s="784">
        <f>IF(D94="","-",+C103+1)</f>
        <v>2016</v>
      </c>
      <c r="D104" s="732">
        <f t="shared" si="2"/>
        <v>6125548.8646153854</v>
      </c>
      <c r="E104" s="785">
        <f t="shared" si="4"/>
        <v>170154.13512820512</v>
      </c>
      <c r="F104" s="785">
        <f t="shared" si="0"/>
        <v>5955394.7294871807</v>
      </c>
      <c r="G104" s="732">
        <f t="shared" si="3"/>
        <v>6040471.7970512826</v>
      </c>
      <c r="H104" s="790">
        <f>+J95*G104+E104</f>
        <v>868735.66288716672</v>
      </c>
      <c r="I104" s="791">
        <f>+J96*G104+E104</f>
        <v>868735.66288716672</v>
      </c>
      <c r="J104" s="788">
        <f t="shared" si="5"/>
        <v>0</v>
      </c>
      <c r="K104" s="788"/>
      <c r="L104" s="808">
        <v>758565</v>
      </c>
      <c r="M104" s="788">
        <f t="shared" ref="M104:M159" si="6">IF(L104&lt;&gt;0,+H104-L104,0)</f>
        <v>110170.66288716672</v>
      </c>
      <c r="N104" s="808">
        <v>758565</v>
      </c>
      <c r="O104" s="788">
        <f t="shared" ref="O104:O159" si="7">IF(N104&lt;&gt;0,+I104-N104,0)</f>
        <v>110170.66288716672</v>
      </c>
      <c r="P104" s="788">
        <f t="shared" si="1"/>
        <v>0</v>
      </c>
    </row>
    <row r="105" spans="2:16">
      <c r="C105" s="784">
        <f>IF(D94="","-",+C104+1)</f>
        <v>2017</v>
      </c>
      <c r="D105" s="732">
        <f t="shared" si="2"/>
        <v>5955394.7294871807</v>
      </c>
      <c r="E105" s="785">
        <f t="shared" si="4"/>
        <v>170154.13512820512</v>
      </c>
      <c r="F105" s="785">
        <f t="shared" si="0"/>
        <v>5785240.594358976</v>
      </c>
      <c r="G105" s="732">
        <f t="shared" si="3"/>
        <v>5870317.6619230788</v>
      </c>
      <c r="H105" s="790">
        <f>+J95*G105+E105</f>
        <v>849057.30999254831</v>
      </c>
      <c r="I105" s="791">
        <f>+J96*G105+E105</f>
        <v>849057.30999254831</v>
      </c>
      <c r="J105" s="788">
        <f t="shared" si="5"/>
        <v>0</v>
      </c>
      <c r="K105" s="788"/>
      <c r="L105" s="808">
        <v>1860187</v>
      </c>
      <c r="M105" s="788">
        <f t="shared" si="6"/>
        <v>-1011129.6900074517</v>
      </c>
      <c r="N105" s="808">
        <v>1860187</v>
      </c>
      <c r="O105" s="788">
        <f t="shared" si="7"/>
        <v>-1011129.6900074517</v>
      </c>
      <c r="P105" s="788">
        <f t="shared" si="1"/>
        <v>0</v>
      </c>
    </row>
    <row r="106" spans="2:16">
      <c r="C106" s="784">
        <f>IF(D94="","-",+C105+1)</f>
        <v>2018</v>
      </c>
      <c r="D106" s="1402">
        <f t="shared" si="2"/>
        <v>5785240.594358976</v>
      </c>
      <c r="E106" s="785">
        <f t="shared" si="4"/>
        <v>170154.13512820512</v>
      </c>
      <c r="F106" s="785">
        <f t="shared" si="0"/>
        <v>5615086.4592307713</v>
      </c>
      <c r="G106" s="732">
        <f t="shared" si="3"/>
        <v>5700163.5267948732</v>
      </c>
      <c r="H106" s="790">
        <f>+J95*G106+E106</f>
        <v>829378.95709792967</v>
      </c>
      <c r="I106" s="791">
        <f>+J96*G106+E106</f>
        <v>829378.95709792967</v>
      </c>
      <c r="J106" s="788">
        <f t="shared" si="5"/>
        <v>0</v>
      </c>
      <c r="K106" s="788"/>
      <c r="L106" s="808">
        <v>1592956</v>
      </c>
      <c r="M106" s="788">
        <f t="shared" si="6"/>
        <v>-763577.04290207033</v>
      </c>
      <c r="N106" s="808">
        <v>1592956</v>
      </c>
      <c r="O106" s="788">
        <f t="shared" si="7"/>
        <v>-763577.04290207033</v>
      </c>
      <c r="P106" s="788">
        <f t="shared" si="1"/>
        <v>0</v>
      </c>
    </row>
    <row r="107" spans="2:16">
      <c r="C107" s="784">
        <f>IF(D94="","-",+C106+1)</f>
        <v>2019</v>
      </c>
      <c r="D107" s="732">
        <f t="shared" si="2"/>
        <v>5615086.4592307713</v>
      </c>
      <c r="E107" s="785">
        <f t="shared" si="4"/>
        <v>170154.13512820512</v>
      </c>
      <c r="F107" s="785">
        <f t="shared" si="0"/>
        <v>5444932.3241025666</v>
      </c>
      <c r="G107" s="732">
        <f t="shared" si="3"/>
        <v>5530009.3916666694</v>
      </c>
      <c r="H107" s="790">
        <f>+J95*G107+E107</f>
        <v>809700.60420331103</v>
      </c>
      <c r="I107" s="791">
        <f>+J96*G107+E107</f>
        <v>809700.60420331103</v>
      </c>
      <c r="J107" s="788">
        <f t="shared" si="5"/>
        <v>0</v>
      </c>
      <c r="K107" s="788"/>
      <c r="L107" s="1310">
        <v>744108</v>
      </c>
      <c r="M107" s="788">
        <f t="shared" si="6"/>
        <v>65592.604203311028</v>
      </c>
      <c r="N107" s="808">
        <v>744108</v>
      </c>
      <c r="O107" s="788">
        <f t="shared" si="7"/>
        <v>65592.604203311028</v>
      </c>
      <c r="P107" s="788">
        <f t="shared" si="1"/>
        <v>0</v>
      </c>
    </row>
    <row r="108" spans="2:16">
      <c r="C108" s="784">
        <f>IF(D94="","-",+C107+1)</f>
        <v>2020</v>
      </c>
      <c r="D108" s="732">
        <f t="shared" si="2"/>
        <v>5444932.3241025666</v>
      </c>
      <c r="E108" s="785">
        <f t="shared" si="4"/>
        <v>170154.13512820512</v>
      </c>
      <c r="F108" s="785">
        <f t="shared" si="0"/>
        <v>5274778.1889743619</v>
      </c>
      <c r="G108" s="732">
        <f t="shared" si="3"/>
        <v>5359855.2565384638</v>
      </c>
      <c r="H108" s="790">
        <f>+J95*G108+E108</f>
        <v>790022.25130869239</v>
      </c>
      <c r="I108" s="791">
        <f>+J96*G108+E108</f>
        <v>790022.25130869239</v>
      </c>
      <c r="J108" s="788">
        <f t="shared" si="5"/>
        <v>0</v>
      </c>
      <c r="K108" s="788"/>
      <c r="L108" s="808">
        <v>752419.89785591606</v>
      </c>
      <c r="M108" s="788">
        <f t="shared" si="6"/>
        <v>37602.353452776326</v>
      </c>
      <c r="N108" s="1310">
        <v>752419.89785591606</v>
      </c>
      <c r="O108" s="788">
        <f t="shared" si="7"/>
        <v>37602.353452776326</v>
      </c>
      <c r="P108" s="788">
        <f t="shared" si="1"/>
        <v>0</v>
      </c>
    </row>
    <row r="109" spans="2:16">
      <c r="C109" s="784">
        <f>IF(D94="","-",+C108+1)</f>
        <v>2021</v>
      </c>
      <c r="D109" s="732">
        <f t="shared" si="2"/>
        <v>5274778.1889743619</v>
      </c>
      <c r="E109" s="785">
        <f t="shared" si="4"/>
        <v>170154.13512820512</v>
      </c>
      <c r="F109" s="785">
        <f t="shared" si="0"/>
        <v>5104624.0538461572</v>
      </c>
      <c r="G109" s="732">
        <f t="shared" si="3"/>
        <v>5189701.12141026</v>
      </c>
      <c r="H109" s="790">
        <f>+J95*G109+E109</f>
        <v>770343.89841407398</v>
      </c>
      <c r="I109" s="791">
        <f>+J96*G109+E109</f>
        <v>770343.89841407398</v>
      </c>
      <c r="J109" s="788">
        <f t="shared" si="5"/>
        <v>0</v>
      </c>
      <c r="K109" s="788"/>
      <c r="L109" s="808">
        <v>734291.1289593752</v>
      </c>
      <c r="M109" s="788">
        <f t="shared" si="6"/>
        <v>36052.769454698777</v>
      </c>
      <c r="N109" s="1310">
        <v>734291.1289593752</v>
      </c>
      <c r="O109" s="788">
        <f t="shared" si="7"/>
        <v>36052.769454698777</v>
      </c>
      <c r="P109" s="788">
        <f t="shared" si="1"/>
        <v>0</v>
      </c>
    </row>
    <row r="110" spans="2:16">
      <c r="C110" s="784">
        <f>IF(D94="","-",+C109+1)</f>
        <v>2022</v>
      </c>
      <c r="D110" s="732">
        <f t="shared" si="2"/>
        <v>5104624.0538461572</v>
      </c>
      <c r="E110" s="785">
        <f t="shared" si="4"/>
        <v>170154.13512820512</v>
      </c>
      <c r="F110" s="785">
        <f t="shared" si="0"/>
        <v>4934469.9187179524</v>
      </c>
      <c r="G110" s="732">
        <f t="shared" si="3"/>
        <v>5019546.9862820543</v>
      </c>
      <c r="H110" s="790">
        <f>+J95*G110+E110</f>
        <v>750665.5455194551</v>
      </c>
      <c r="I110" s="791">
        <f>+J96*G110+E110</f>
        <v>750665.5455194551</v>
      </c>
      <c r="J110" s="788">
        <f t="shared" si="5"/>
        <v>0</v>
      </c>
      <c r="K110" s="788"/>
      <c r="L110" s="808"/>
      <c r="M110" s="788">
        <f t="shared" si="6"/>
        <v>0</v>
      </c>
      <c r="N110" s="808"/>
      <c r="O110" s="788">
        <f t="shared" si="7"/>
        <v>0</v>
      </c>
      <c r="P110" s="788">
        <f t="shared" si="1"/>
        <v>0</v>
      </c>
    </row>
    <row r="111" spans="2:16">
      <c r="C111" s="784">
        <f>IF(D94="","-",+C110+1)</f>
        <v>2023</v>
      </c>
      <c r="D111" s="732">
        <f t="shared" si="2"/>
        <v>4934469.9187179524</v>
      </c>
      <c r="E111" s="785">
        <f t="shared" si="4"/>
        <v>170154.13512820512</v>
      </c>
      <c r="F111" s="785">
        <f t="shared" si="0"/>
        <v>4764315.7835897477</v>
      </c>
      <c r="G111" s="732">
        <f t="shared" si="3"/>
        <v>4849392.8511538506</v>
      </c>
      <c r="H111" s="790">
        <f>+J95*G111+E111</f>
        <v>730987.19262483669</v>
      </c>
      <c r="I111" s="791">
        <f>+J96*G111+E111</f>
        <v>730987.19262483669</v>
      </c>
      <c r="J111" s="788">
        <f t="shared" si="5"/>
        <v>0</v>
      </c>
      <c r="K111" s="788"/>
      <c r="L111" s="808"/>
      <c r="M111" s="788">
        <f t="shared" si="6"/>
        <v>0</v>
      </c>
      <c r="N111" s="808"/>
      <c r="O111" s="788">
        <f t="shared" si="7"/>
        <v>0</v>
      </c>
      <c r="P111" s="788">
        <f t="shared" si="1"/>
        <v>0</v>
      </c>
    </row>
    <row r="112" spans="2:16">
      <c r="C112" s="784">
        <f>IF(D94="","-",+C111+1)</f>
        <v>2024</v>
      </c>
      <c r="D112" s="732">
        <f t="shared" si="2"/>
        <v>4764315.7835897477</v>
      </c>
      <c r="E112" s="785">
        <f t="shared" si="4"/>
        <v>170154.13512820512</v>
      </c>
      <c r="F112" s="785">
        <f t="shared" si="0"/>
        <v>4594161.648461543</v>
      </c>
      <c r="G112" s="732">
        <f t="shared" si="3"/>
        <v>4679238.7160256449</v>
      </c>
      <c r="H112" s="790">
        <f>+J95*G112+E112</f>
        <v>711308.83973021805</v>
      </c>
      <c r="I112" s="791">
        <f>+J96*G112+E112</f>
        <v>711308.83973021805</v>
      </c>
      <c r="J112" s="788">
        <f t="shared" si="5"/>
        <v>0</v>
      </c>
      <c r="K112" s="788"/>
      <c r="L112" s="808"/>
      <c r="M112" s="788">
        <f t="shared" si="6"/>
        <v>0</v>
      </c>
      <c r="N112" s="808"/>
      <c r="O112" s="788">
        <f t="shared" si="7"/>
        <v>0</v>
      </c>
      <c r="P112" s="788">
        <f t="shared" si="1"/>
        <v>0</v>
      </c>
    </row>
    <row r="113" spans="3:16">
      <c r="C113" s="784">
        <f>IF(D94="","-",+C112+1)</f>
        <v>2025</v>
      </c>
      <c r="D113" s="732">
        <f t="shared" si="2"/>
        <v>4594161.648461543</v>
      </c>
      <c r="E113" s="785">
        <f t="shared" si="4"/>
        <v>170154.13512820512</v>
      </c>
      <c r="F113" s="785">
        <f t="shared" si="0"/>
        <v>4424007.5133333383</v>
      </c>
      <c r="G113" s="732">
        <f t="shared" si="3"/>
        <v>4509084.5808974411</v>
      </c>
      <c r="H113" s="790">
        <f>+J95*G113+E113</f>
        <v>691630.48683559964</v>
      </c>
      <c r="I113" s="791">
        <f>+J96*G113+E113</f>
        <v>691630.48683559964</v>
      </c>
      <c r="J113" s="788">
        <f t="shared" si="5"/>
        <v>0</v>
      </c>
      <c r="K113" s="788"/>
      <c r="L113" s="808"/>
      <c r="M113" s="788">
        <f t="shared" si="6"/>
        <v>0</v>
      </c>
      <c r="N113" s="808"/>
      <c r="O113" s="788">
        <f t="shared" si="7"/>
        <v>0</v>
      </c>
      <c r="P113" s="788">
        <f t="shared" si="1"/>
        <v>0</v>
      </c>
    </row>
    <row r="114" spans="3:16">
      <c r="C114" s="784">
        <f>IF(D94="","-",+C113+1)</f>
        <v>2026</v>
      </c>
      <c r="D114" s="732">
        <f t="shared" si="2"/>
        <v>4424007.5133333383</v>
      </c>
      <c r="E114" s="785">
        <f t="shared" si="4"/>
        <v>170154.13512820512</v>
      </c>
      <c r="F114" s="785">
        <f t="shared" si="0"/>
        <v>4253853.3782051336</v>
      </c>
      <c r="G114" s="732">
        <f t="shared" si="3"/>
        <v>4338930.4457692355</v>
      </c>
      <c r="H114" s="790">
        <f>+J95*G114+E114</f>
        <v>671952.13394098089</v>
      </c>
      <c r="I114" s="791">
        <f>+J96*G114+E114</f>
        <v>671952.13394098089</v>
      </c>
      <c r="J114" s="788">
        <f t="shared" si="5"/>
        <v>0</v>
      </c>
      <c r="K114" s="788"/>
      <c r="L114" s="808"/>
      <c r="M114" s="788">
        <f t="shared" si="6"/>
        <v>0</v>
      </c>
      <c r="N114" s="808"/>
      <c r="O114" s="788">
        <f t="shared" si="7"/>
        <v>0</v>
      </c>
      <c r="P114" s="788">
        <f t="shared" si="1"/>
        <v>0</v>
      </c>
    </row>
    <row r="115" spans="3:16">
      <c r="C115" s="784">
        <f>IF(D94="","-",+C114+1)</f>
        <v>2027</v>
      </c>
      <c r="D115" s="732">
        <f t="shared" si="2"/>
        <v>4253853.3782051336</v>
      </c>
      <c r="E115" s="785">
        <f t="shared" si="4"/>
        <v>170154.13512820512</v>
      </c>
      <c r="F115" s="785">
        <f t="shared" si="0"/>
        <v>4083699.2430769284</v>
      </c>
      <c r="G115" s="732">
        <f t="shared" si="3"/>
        <v>4168776.3106410308</v>
      </c>
      <c r="H115" s="790">
        <f>+J95*G115+E115</f>
        <v>652273.78104636236</v>
      </c>
      <c r="I115" s="791">
        <f>+J96*G115+E115</f>
        <v>652273.78104636236</v>
      </c>
      <c r="J115" s="788">
        <f t="shared" si="5"/>
        <v>0</v>
      </c>
      <c r="K115" s="788"/>
      <c r="L115" s="808"/>
      <c r="M115" s="788">
        <f t="shared" si="6"/>
        <v>0</v>
      </c>
      <c r="N115" s="808"/>
      <c r="O115" s="788">
        <f t="shared" si="7"/>
        <v>0</v>
      </c>
      <c r="P115" s="788">
        <f t="shared" si="1"/>
        <v>0</v>
      </c>
    </row>
    <row r="116" spans="3:16">
      <c r="C116" s="784">
        <f>IF(D94="","-",+C115+1)</f>
        <v>2028</v>
      </c>
      <c r="D116" s="732">
        <f t="shared" si="2"/>
        <v>4083699.2430769284</v>
      </c>
      <c r="E116" s="785">
        <f t="shared" si="4"/>
        <v>170154.13512820512</v>
      </c>
      <c r="F116" s="785">
        <f t="shared" si="0"/>
        <v>3913545.1079487232</v>
      </c>
      <c r="G116" s="732">
        <f t="shared" si="3"/>
        <v>3998622.1755128261</v>
      </c>
      <c r="H116" s="790">
        <f>+J95*G116+E116</f>
        <v>632595.42815174372</v>
      </c>
      <c r="I116" s="791">
        <f>+J96*G116+E116</f>
        <v>632595.42815174372</v>
      </c>
      <c r="J116" s="788">
        <f t="shared" si="5"/>
        <v>0</v>
      </c>
      <c r="K116" s="788"/>
      <c r="L116" s="808"/>
      <c r="M116" s="788">
        <f t="shared" si="6"/>
        <v>0</v>
      </c>
      <c r="N116" s="808"/>
      <c r="O116" s="788">
        <f t="shared" si="7"/>
        <v>0</v>
      </c>
      <c r="P116" s="788">
        <f t="shared" si="1"/>
        <v>0</v>
      </c>
    </row>
    <row r="117" spans="3:16">
      <c r="C117" s="784">
        <f>IF(D94="","-",+C116+1)</f>
        <v>2029</v>
      </c>
      <c r="D117" s="732">
        <f t="shared" si="2"/>
        <v>3913545.1079487232</v>
      </c>
      <c r="E117" s="785">
        <f t="shared" si="4"/>
        <v>170154.13512820512</v>
      </c>
      <c r="F117" s="785">
        <f t="shared" si="0"/>
        <v>3743390.9728205181</v>
      </c>
      <c r="G117" s="732">
        <f t="shared" si="3"/>
        <v>3828468.0403846204</v>
      </c>
      <c r="H117" s="790">
        <f>+J95*G117+E117</f>
        <v>612917.07525712508</v>
      </c>
      <c r="I117" s="791">
        <f>+J96*G117+E117</f>
        <v>612917.07525712508</v>
      </c>
      <c r="J117" s="788">
        <f t="shared" si="5"/>
        <v>0</v>
      </c>
      <c r="K117" s="788"/>
      <c r="L117" s="808"/>
      <c r="M117" s="788">
        <f t="shared" si="6"/>
        <v>0</v>
      </c>
      <c r="N117" s="808"/>
      <c r="O117" s="788">
        <f t="shared" si="7"/>
        <v>0</v>
      </c>
      <c r="P117" s="788">
        <f t="shared" si="1"/>
        <v>0</v>
      </c>
    </row>
    <row r="118" spans="3:16">
      <c r="C118" s="784">
        <f>IF(D94="","-",+C117+1)</f>
        <v>2030</v>
      </c>
      <c r="D118" s="732">
        <f t="shared" si="2"/>
        <v>3743390.9728205181</v>
      </c>
      <c r="E118" s="785">
        <f t="shared" si="4"/>
        <v>170154.13512820512</v>
      </c>
      <c r="F118" s="785">
        <f t="shared" si="0"/>
        <v>3573236.8376923129</v>
      </c>
      <c r="G118" s="732">
        <f t="shared" si="3"/>
        <v>3658313.9052564157</v>
      </c>
      <c r="H118" s="790">
        <f>+J95*G118+E118</f>
        <v>593238.72236250644</v>
      </c>
      <c r="I118" s="791">
        <f>+J96*G118+E118</f>
        <v>593238.72236250644</v>
      </c>
      <c r="J118" s="788">
        <f t="shared" si="5"/>
        <v>0</v>
      </c>
      <c r="K118" s="788"/>
      <c r="L118" s="808"/>
      <c r="M118" s="788">
        <f t="shared" si="6"/>
        <v>0</v>
      </c>
      <c r="N118" s="808"/>
      <c r="O118" s="788">
        <f t="shared" si="7"/>
        <v>0</v>
      </c>
      <c r="P118" s="788">
        <f t="shared" si="1"/>
        <v>0</v>
      </c>
    </row>
    <row r="119" spans="3:16">
      <c r="C119" s="784">
        <f>IF(D94="","-",+C118+1)</f>
        <v>2031</v>
      </c>
      <c r="D119" s="732">
        <f t="shared" si="2"/>
        <v>3573236.8376923129</v>
      </c>
      <c r="E119" s="785">
        <f t="shared" si="4"/>
        <v>170154.13512820512</v>
      </c>
      <c r="F119" s="785">
        <f t="shared" si="0"/>
        <v>3403082.7025641077</v>
      </c>
      <c r="G119" s="732">
        <f t="shared" si="3"/>
        <v>3488159.7701282101</v>
      </c>
      <c r="H119" s="790">
        <f>+J95*G119+E119</f>
        <v>573560.36946788779</v>
      </c>
      <c r="I119" s="791">
        <f>+J96*G119+E119</f>
        <v>573560.36946788779</v>
      </c>
      <c r="J119" s="788">
        <f t="shared" si="5"/>
        <v>0</v>
      </c>
      <c r="K119" s="788"/>
      <c r="L119" s="808"/>
      <c r="M119" s="788">
        <f t="shared" si="6"/>
        <v>0</v>
      </c>
      <c r="N119" s="808"/>
      <c r="O119" s="788">
        <f t="shared" si="7"/>
        <v>0</v>
      </c>
      <c r="P119" s="788">
        <f t="shared" si="1"/>
        <v>0</v>
      </c>
    </row>
    <row r="120" spans="3:16">
      <c r="C120" s="784">
        <f>IF(D94="","-",+C119+1)</f>
        <v>2032</v>
      </c>
      <c r="D120" s="732">
        <f t="shared" si="2"/>
        <v>3403082.7025641077</v>
      </c>
      <c r="E120" s="785">
        <f t="shared" si="4"/>
        <v>170154.13512820512</v>
      </c>
      <c r="F120" s="785">
        <f t="shared" si="0"/>
        <v>3232928.5674359025</v>
      </c>
      <c r="G120" s="732">
        <f t="shared" si="3"/>
        <v>3318005.6350000054</v>
      </c>
      <c r="H120" s="790">
        <f>+J95*G120+E120</f>
        <v>553882.01657326915</v>
      </c>
      <c r="I120" s="791">
        <f>+J96*G120+E120</f>
        <v>553882.01657326915</v>
      </c>
      <c r="J120" s="788">
        <f t="shared" si="5"/>
        <v>0</v>
      </c>
      <c r="K120" s="788"/>
      <c r="L120" s="808"/>
      <c r="M120" s="788">
        <f t="shared" si="6"/>
        <v>0</v>
      </c>
      <c r="N120" s="808"/>
      <c r="O120" s="788">
        <f t="shared" si="7"/>
        <v>0</v>
      </c>
      <c r="P120" s="788">
        <f t="shared" si="1"/>
        <v>0</v>
      </c>
    </row>
    <row r="121" spans="3:16">
      <c r="C121" s="784">
        <f>IF(D94="","-",+C120+1)</f>
        <v>2033</v>
      </c>
      <c r="D121" s="732">
        <f t="shared" si="2"/>
        <v>3232928.5674359025</v>
      </c>
      <c r="E121" s="785">
        <f t="shared" si="4"/>
        <v>170154.13512820512</v>
      </c>
      <c r="F121" s="785">
        <f t="shared" si="0"/>
        <v>3062774.4323076974</v>
      </c>
      <c r="G121" s="732">
        <f t="shared" si="3"/>
        <v>3147851.4998717997</v>
      </c>
      <c r="H121" s="790">
        <f>+J95*G121+E121</f>
        <v>534203.66367865051</v>
      </c>
      <c r="I121" s="791">
        <f>+J96*G121+E121</f>
        <v>534203.66367865051</v>
      </c>
      <c r="J121" s="788">
        <f t="shared" si="5"/>
        <v>0</v>
      </c>
      <c r="K121" s="788"/>
      <c r="L121" s="808"/>
      <c r="M121" s="788">
        <f t="shared" si="6"/>
        <v>0</v>
      </c>
      <c r="N121" s="808"/>
      <c r="O121" s="788">
        <f t="shared" si="7"/>
        <v>0</v>
      </c>
      <c r="P121" s="788">
        <f t="shared" si="1"/>
        <v>0</v>
      </c>
    </row>
    <row r="122" spans="3:16">
      <c r="C122" s="784">
        <f>IF(D94="","-",+C121+1)</f>
        <v>2034</v>
      </c>
      <c r="D122" s="732">
        <f t="shared" si="2"/>
        <v>3062774.4323076974</v>
      </c>
      <c r="E122" s="785">
        <f t="shared" si="4"/>
        <v>170154.13512820512</v>
      </c>
      <c r="F122" s="785">
        <f t="shared" si="0"/>
        <v>2892620.2971794922</v>
      </c>
      <c r="G122" s="732">
        <f t="shared" si="3"/>
        <v>2977697.364743595</v>
      </c>
      <c r="H122" s="790">
        <f>+J95*G122+E122</f>
        <v>514525.31078403187</v>
      </c>
      <c r="I122" s="791">
        <f>+J96*G122+E122</f>
        <v>514525.31078403187</v>
      </c>
      <c r="J122" s="788">
        <f t="shared" si="5"/>
        <v>0</v>
      </c>
      <c r="K122" s="788"/>
      <c r="L122" s="808"/>
      <c r="M122" s="788">
        <f t="shared" si="6"/>
        <v>0</v>
      </c>
      <c r="N122" s="808"/>
      <c r="O122" s="788">
        <f t="shared" si="7"/>
        <v>0</v>
      </c>
      <c r="P122" s="788">
        <f t="shared" si="1"/>
        <v>0</v>
      </c>
    </row>
    <row r="123" spans="3:16">
      <c r="C123" s="784">
        <f>IF(D94="","-",+C122+1)</f>
        <v>2035</v>
      </c>
      <c r="D123" s="732">
        <f t="shared" si="2"/>
        <v>2892620.2971794922</v>
      </c>
      <c r="E123" s="785">
        <f t="shared" si="4"/>
        <v>170154.13512820512</v>
      </c>
      <c r="F123" s="785">
        <f t="shared" si="0"/>
        <v>2722466.162051287</v>
      </c>
      <c r="G123" s="732">
        <f t="shared" si="3"/>
        <v>2807543.2296153894</v>
      </c>
      <c r="H123" s="790">
        <f>+J95*G123+E123</f>
        <v>494846.95788941317</v>
      </c>
      <c r="I123" s="791">
        <f>+J96*G123+E123</f>
        <v>494846.95788941317</v>
      </c>
      <c r="J123" s="788">
        <f t="shared" si="5"/>
        <v>0</v>
      </c>
      <c r="K123" s="788"/>
      <c r="L123" s="808"/>
      <c r="M123" s="788">
        <f t="shared" si="6"/>
        <v>0</v>
      </c>
      <c r="N123" s="808"/>
      <c r="O123" s="788">
        <f t="shared" si="7"/>
        <v>0</v>
      </c>
      <c r="P123" s="788">
        <f t="shared" si="1"/>
        <v>0</v>
      </c>
    </row>
    <row r="124" spans="3:16">
      <c r="C124" s="784">
        <f>IF(D94="","-",+C123+1)</f>
        <v>2036</v>
      </c>
      <c r="D124" s="732">
        <f t="shared" si="2"/>
        <v>2722466.162051287</v>
      </c>
      <c r="E124" s="785">
        <f t="shared" si="4"/>
        <v>170154.13512820512</v>
      </c>
      <c r="F124" s="785">
        <f t="shared" si="0"/>
        <v>2552312.0269230818</v>
      </c>
      <c r="G124" s="732">
        <f t="shared" si="3"/>
        <v>2637389.0944871847</v>
      </c>
      <c r="H124" s="790">
        <f>+J95*G124+E124</f>
        <v>475168.60499479459</v>
      </c>
      <c r="I124" s="791">
        <f>+J96*G124+E124</f>
        <v>475168.60499479459</v>
      </c>
      <c r="J124" s="788">
        <f t="shared" si="5"/>
        <v>0</v>
      </c>
      <c r="K124" s="788"/>
      <c r="L124" s="808"/>
      <c r="M124" s="788">
        <f t="shared" si="6"/>
        <v>0</v>
      </c>
      <c r="N124" s="808"/>
      <c r="O124" s="788">
        <f t="shared" si="7"/>
        <v>0</v>
      </c>
      <c r="P124" s="788">
        <f t="shared" si="1"/>
        <v>0</v>
      </c>
    </row>
    <row r="125" spans="3:16">
      <c r="C125" s="784">
        <f>IF(D94="","-",+C124+1)</f>
        <v>2037</v>
      </c>
      <c r="D125" s="732">
        <f t="shared" si="2"/>
        <v>2552312.0269230818</v>
      </c>
      <c r="E125" s="785">
        <f t="shared" si="4"/>
        <v>170154.13512820512</v>
      </c>
      <c r="F125" s="785">
        <f t="shared" si="0"/>
        <v>2382157.8917948767</v>
      </c>
      <c r="G125" s="732">
        <f t="shared" si="3"/>
        <v>2467234.959358979</v>
      </c>
      <c r="H125" s="790">
        <f>+J95*G125+E125</f>
        <v>455490.25210017589</v>
      </c>
      <c r="I125" s="791">
        <f>+J96*G125+E125</f>
        <v>455490.25210017589</v>
      </c>
      <c r="J125" s="788">
        <f t="shared" si="5"/>
        <v>0</v>
      </c>
      <c r="K125" s="788"/>
      <c r="L125" s="808"/>
      <c r="M125" s="788">
        <f t="shared" si="6"/>
        <v>0</v>
      </c>
      <c r="N125" s="808"/>
      <c r="O125" s="788">
        <f t="shared" si="7"/>
        <v>0</v>
      </c>
      <c r="P125" s="788">
        <f t="shared" si="1"/>
        <v>0</v>
      </c>
    </row>
    <row r="126" spans="3:16">
      <c r="C126" s="784">
        <f>IF(D94="","-",+C125+1)</f>
        <v>2038</v>
      </c>
      <c r="D126" s="732">
        <f t="shared" si="2"/>
        <v>2382157.8917948767</v>
      </c>
      <c r="E126" s="785">
        <f t="shared" si="4"/>
        <v>170154.13512820512</v>
      </c>
      <c r="F126" s="785">
        <f t="shared" si="0"/>
        <v>2212003.7566666715</v>
      </c>
      <c r="G126" s="732">
        <f t="shared" si="3"/>
        <v>2297080.8242307743</v>
      </c>
      <c r="H126" s="790">
        <f>+J95*G126+E126</f>
        <v>435811.8992055573</v>
      </c>
      <c r="I126" s="791">
        <f>+J96*G126+E126</f>
        <v>435811.8992055573</v>
      </c>
      <c r="J126" s="788">
        <f t="shared" si="5"/>
        <v>0</v>
      </c>
      <c r="K126" s="788"/>
      <c r="L126" s="808"/>
      <c r="M126" s="788">
        <f t="shared" si="6"/>
        <v>0</v>
      </c>
      <c r="N126" s="808"/>
      <c r="O126" s="788">
        <f t="shared" si="7"/>
        <v>0</v>
      </c>
      <c r="P126" s="788">
        <f t="shared" si="1"/>
        <v>0</v>
      </c>
    </row>
    <row r="127" spans="3:16">
      <c r="C127" s="784">
        <f>IF(D94="","-",+C126+1)</f>
        <v>2039</v>
      </c>
      <c r="D127" s="732">
        <f t="shared" si="2"/>
        <v>2212003.7566666715</v>
      </c>
      <c r="E127" s="785">
        <f t="shared" si="4"/>
        <v>170154.13512820512</v>
      </c>
      <c r="F127" s="785">
        <f t="shared" si="0"/>
        <v>2041849.6215384663</v>
      </c>
      <c r="G127" s="732">
        <f t="shared" si="3"/>
        <v>2126926.6891025687</v>
      </c>
      <c r="H127" s="790">
        <f>+J95*G127+E127</f>
        <v>416133.54631093855</v>
      </c>
      <c r="I127" s="791">
        <f>+J96*G127+E127</f>
        <v>416133.54631093855</v>
      </c>
      <c r="J127" s="788">
        <f t="shared" si="5"/>
        <v>0</v>
      </c>
      <c r="K127" s="788"/>
      <c r="L127" s="808"/>
      <c r="M127" s="788">
        <f t="shared" si="6"/>
        <v>0</v>
      </c>
      <c r="N127" s="808"/>
      <c r="O127" s="788">
        <f t="shared" si="7"/>
        <v>0</v>
      </c>
      <c r="P127" s="788">
        <f t="shared" si="1"/>
        <v>0</v>
      </c>
    </row>
    <row r="128" spans="3:16">
      <c r="C128" s="784">
        <f>IF(D94="","-",+C127+1)</f>
        <v>2040</v>
      </c>
      <c r="D128" s="732">
        <f t="shared" si="2"/>
        <v>2041849.6215384663</v>
      </c>
      <c r="E128" s="785">
        <f t="shared" si="4"/>
        <v>170154.13512820512</v>
      </c>
      <c r="F128" s="785">
        <f t="shared" si="0"/>
        <v>1871695.4864102611</v>
      </c>
      <c r="G128" s="732">
        <f t="shared" si="3"/>
        <v>1956772.5539743637</v>
      </c>
      <c r="H128" s="790">
        <f>+J95*G128+E128</f>
        <v>396455.19341631996</v>
      </c>
      <c r="I128" s="791">
        <f>+J96*G128+E128</f>
        <v>396455.19341631996</v>
      </c>
      <c r="J128" s="788">
        <f t="shared" si="5"/>
        <v>0</v>
      </c>
      <c r="K128" s="788"/>
      <c r="L128" s="808"/>
      <c r="M128" s="788">
        <f t="shared" si="6"/>
        <v>0</v>
      </c>
      <c r="N128" s="808"/>
      <c r="O128" s="788">
        <f t="shared" si="7"/>
        <v>0</v>
      </c>
      <c r="P128" s="788">
        <f t="shared" si="1"/>
        <v>0</v>
      </c>
    </row>
    <row r="129" spans="3:16">
      <c r="C129" s="784">
        <f>IF(D94="","-",+C128+1)</f>
        <v>2041</v>
      </c>
      <c r="D129" s="732">
        <f t="shared" si="2"/>
        <v>1871695.4864102611</v>
      </c>
      <c r="E129" s="785">
        <f t="shared" si="4"/>
        <v>170154.13512820512</v>
      </c>
      <c r="F129" s="785">
        <f t="shared" si="0"/>
        <v>1701541.351282056</v>
      </c>
      <c r="G129" s="732">
        <f t="shared" si="3"/>
        <v>1786618.4188461585</v>
      </c>
      <c r="H129" s="790">
        <f>+J95*G129+E129</f>
        <v>376776.84052170132</v>
      </c>
      <c r="I129" s="791">
        <f>+J96*G129+E129</f>
        <v>376776.84052170132</v>
      </c>
      <c r="J129" s="788">
        <f t="shared" si="5"/>
        <v>0</v>
      </c>
      <c r="K129" s="788"/>
      <c r="L129" s="808"/>
      <c r="M129" s="788">
        <f t="shared" si="6"/>
        <v>0</v>
      </c>
      <c r="N129" s="808"/>
      <c r="O129" s="788">
        <f t="shared" si="7"/>
        <v>0</v>
      </c>
      <c r="P129" s="788">
        <f t="shared" si="1"/>
        <v>0</v>
      </c>
    </row>
    <row r="130" spans="3:16">
      <c r="C130" s="784">
        <f>IF(D94="","-",+C129+1)</f>
        <v>2042</v>
      </c>
      <c r="D130" s="732">
        <f t="shared" si="2"/>
        <v>1701541.351282056</v>
      </c>
      <c r="E130" s="785">
        <f t="shared" si="4"/>
        <v>170154.13512820512</v>
      </c>
      <c r="F130" s="785">
        <f t="shared" si="0"/>
        <v>1531387.2161538508</v>
      </c>
      <c r="G130" s="732">
        <f t="shared" si="3"/>
        <v>1616464.2837179534</v>
      </c>
      <c r="H130" s="790">
        <f>+J95*G130+E130</f>
        <v>357098.48762708268</v>
      </c>
      <c r="I130" s="791">
        <f>+J96*G130+E130</f>
        <v>357098.48762708268</v>
      </c>
      <c r="J130" s="788">
        <f t="shared" si="5"/>
        <v>0</v>
      </c>
      <c r="K130" s="788"/>
      <c r="L130" s="808"/>
      <c r="M130" s="788">
        <f t="shared" si="6"/>
        <v>0</v>
      </c>
      <c r="N130" s="808"/>
      <c r="O130" s="788">
        <f t="shared" si="7"/>
        <v>0</v>
      </c>
      <c r="P130" s="788">
        <f t="shared" si="1"/>
        <v>0</v>
      </c>
    </row>
    <row r="131" spans="3:16">
      <c r="C131" s="784">
        <f>IF(D94="","-",+C130+1)</f>
        <v>2043</v>
      </c>
      <c r="D131" s="732">
        <f t="shared" si="2"/>
        <v>1531387.2161538508</v>
      </c>
      <c r="E131" s="785">
        <f t="shared" si="4"/>
        <v>170154.13512820512</v>
      </c>
      <c r="F131" s="785">
        <f t="shared" si="0"/>
        <v>1361233.0810256456</v>
      </c>
      <c r="G131" s="732">
        <f t="shared" si="3"/>
        <v>1446310.1485897482</v>
      </c>
      <c r="H131" s="790">
        <f>+J95*G131+E131</f>
        <v>337420.13473246404</v>
      </c>
      <c r="I131" s="791">
        <f>+J96*G131+E131</f>
        <v>337420.13473246404</v>
      </c>
      <c r="J131" s="788">
        <f t="shared" si="5"/>
        <v>0</v>
      </c>
      <c r="K131" s="788"/>
      <c r="L131" s="808"/>
      <c r="M131" s="788">
        <f t="shared" si="6"/>
        <v>0</v>
      </c>
      <c r="N131" s="808"/>
      <c r="O131" s="788">
        <f t="shared" si="7"/>
        <v>0</v>
      </c>
      <c r="P131" s="788">
        <f t="shared" si="1"/>
        <v>0</v>
      </c>
    </row>
    <row r="132" spans="3:16">
      <c r="C132" s="784">
        <f>IF(D94="","-",+C131+1)</f>
        <v>2044</v>
      </c>
      <c r="D132" s="732">
        <f t="shared" si="2"/>
        <v>1361233.0810256456</v>
      </c>
      <c r="E132" s="785">
        <f t="shared" si="4"/>
        <v>170154.13512820512</v>
      </c>
      <c r="F132" s="785">
        <f t="shared" si="0"/>
        <v>1191078.9458974404</v>
      </c>
      <c r="G132" s="732">
        <f t="shared" si="3"/>
        <v>1276156.013461543</v>
      </c>
      <c r="H132" s="790">
        <f>+J95*G132+E132</f>
        <v>317741.7818378454</v>
      </c>
      <c r="I132" s="791">
        <f>+J96*G132+E132</f>
        <v>317741.7818378454</v>
      </c>
      <c r="J132" s="788">
        <f t="shared" si="5"/>
        <v>0</v>
      </c>
      <c r="K132" s="788"/>
      <c r="L132" s="808"/>
      <c r="M132" s="788">
        <f t="shared" si="6"/>
        <v>0</v>
      </c>
      <c r="N132" s="808"/>
      <c r="O132" s="788">
        <f t="shared" si="7"/>
        <v>0</v>
      </c>
      <c r="P132" s="788">
        <f t="shared" si="1"/>
        <v>0</v>
      </c>
    </row>
    <row r="133" spans="3:16">
      <c r="C133" s="784">
        <f>IF(D94="","-",+C132+1)</f>
        <v>2045</v>
      </c>
      <c r="D133" s="732">
        <f t="shared" si="2"/>
        <v>1191078.9458974404</v>
      </c>
      <c r="E133" s="785">
        <f t="shared" si="4"/>
        <v>170154.13512820512</v>
      </c>
      <c r="F133" s="785">
        <f t="shared" si="0"/>
        <v>1020924.8107692352</v>
      </c>
      <c r="G133" s="732">
        <f t="shared" si="3"/>
        <v>1106001.8783333378</v>
      </c>
      <c r="H133" s="790">
        <f>+J95*G133+E133</f>
        <v>298063.42894322675</v>
      </c>
      <c r="I133" s="791">
        <f>+J96*G133+E133</f>
        <v>298063.42894322675</v>
      </c>
      <c r="J133" s="788">
        <f t="shared" si="5"/>
        <v>0</v>
      </c>
      <c r="K133" s="788"/>
      <c r="L133" s="808"/>
      <c r="M133" s="788">
        <f t="shared" si="6"/>
        <v>0</v>
      </c>
      <c r="N133" s="808"/>
      <c r="O133" s="788">
        <f t="shared" si="7"/>
        <v>0</v>
      </c>
      <c r="P133" s="788">
        <f t="shared" si="1"/>
        <v>0</v>
      </c>
    </row>
    <row r="134" spans="3:16">
      <c r="C134" s="784">
        <f>IF(D94="","-",+C133+1)</f>
        <v>2046</v>
      </c>
      <c r="D134" s="732">
        <f t="shared" si="2"/>
        <v>1020924.8107692352</v>
      </c>
      <c r="E134" s="785">
        <f t="shared" si="4"/>
        <v>170154.13512820512</v>
      </c>
      <c r="F134" s="785">
        <f t="shared" si="0"/>
        <v>850770.67564103007</v>
      </c>
      <c r="G134" s="732">
        <f t="shared" si="3"/>
        <v>935847.74320513266</v>
      </c>
      <c r="H134" s="790">
        <f>+J95*G134+E134</f>
        <v>278385.07604860811</v>
      </c>
      <c r="I134" s="791">
        <f>+J96*G134+E134</f>
        <v>278385.07604860811</v>
      </c>
      <c r="J134" s="788">
        <f t="shared" si="5"/>
        <v>0</v>
      </c>
      <c r="K134" s="788"/>
      <c r="L134" s="808"/>
      <c r="M134" s="788">
        <f t="shared" si="6"/>
        <v>0</v>
      </c>
      <c r="N134" s="808"/>
      <c r="O134" s="788">
        <f t="shared" si="7"/>
        <v>0</v>
      </c>
      <c r="P134" s="788">
        <f t="shared" si="1"/>
        <v>0</v>
      </c>
    </row>
    <row r="135" spans="3:16">
      <c r="C135" s="784">
        <f>IF(D94="","-",+C134+1)</f>
        <v>2047</v>
      </c>
      <c r="D135" s="732">
        <f t="shared" si="2"/>
        <v>850770.67564103007</v>
      </c>
      <c r="E135" s="785">
        <f t="shared" si="4"/>
        <v>170154.13512820512</v>
      </c>
      <c r="F135" s="785">
        <f t="shared" si="0"/>
        <v>680616.5405128249</v>
      </c>
      <c r="G135" s="732">
        <f t="shared" si="3"/>
        <v>765693.60807692748</v>
      </c>
      <c r="H135" s="790">
        <f>+J95*G135+E135</f>
        <v>258706.72315398947</v>
      </c>
      <c r="I135" s="791">
        <f>+J96*G135+E135</f>
        <v>258706.72315398947</v>
      </c>
      <c r="J135" s="788">
        <f t="shared" si="5"/>
        <v>0</v>
      </c>
      <c r="K135" s="788"/>
      <c r="L135" s="808"/>
      <c r="M135" s="788">
        <f t="shared" si="6"/>
        <v>0</v>
      </c>
      <c r="N135" s="808"/>
      <c r="O135" s="788">
        <f t="shared" si="7"/>
        <v>0</v>
      </c>
      <c r="P135" s="788">
        <f t="shared" si="1"/>
        <v>0</v>
      </c>
    </row>
    <row r="136" spans="3:16">
      <c r="C136" s="784">
        <f>IF(D94="","-",+C135+1)</f>
        <v>2048</v>
      </c>
      <c r="D136" s="732">
        <f t="shared" si="2"/>
        <v>680616.5405128249</v>
      </c>
      <c r="E136" s="785">
        <f t="shared" si="4"/>
        <v>170154.13512820512</v>
      </c>
      <c r="F136" s="785">
        <f t="shared" si="0"/>
        <v>510462.40538461978</v>
      </c>
      <c r="G136" s="732">
        <f t="shared" si="3"/>
        <v>595539.47294872231</v>
      </c>
      <c r="H136" s="790">
        <f>+J95*G136+E136</f>
        <v>239028.37025937083</v>
      </c>
      <c r="I136" s="791">
        <f>+J96*G136+E136</f>
        <v>239028.37025937083</v>
      </c>
      <c r="J136" s="788">
        <f t="shared" si="5"/>
        <v>0</v>
      </c>
      <c r="K136" s="788"/>
      <c r="L136" s="808"/>
      <c r="M136" s="788">
        <f t="shared" si="6"/>
        <v>0</v>
      </c>
      <c r="N136" s="808"/>
      <c r="O136" s="788">
        <f t="shared" si="7"/>
        <v>0</v>
      </c>
      <c r="P136" s="788">
        <f t="shared" si="1"/>
        <v>0</v>
      </c>
    </row>
    <row r="137" spans="3:16">
      <c r="C137" s="784">
        <f>IF(D94="","-",+C136+1)</f>
        <v>2049</v>
      </c>
      <c r="D137" s="732">
        <f t="shared" si="2"/>
        <v>510462.40538461978</v>
      </c>
      <c r="E137" s="785">
        <f t="shared" si="4"/>
        <v>170154.13512820512</v>
      </c>
      <c r="F137" s="785">
        <f t="shared" si="0"/>
        <v>340308.27025641466</v>
      </c>
      <c r="G137" s="732">
        <f t="shared" si="3"/>
        <v>425385.33782051725</v>
      </c>
      <c r="H137" s="790">
        <f>+J95*G137+E137</f>
        <v>219350.01736475222</v>
      </c>
      <c r="I137" s="791">
        <f>+J96*G137+E137</f>
        <v>219350.01736475222</v>
      </c>
      <c r="J137" s="788">
        <f t="shared" si="5"/>
        <v>0</v>
      </c>
      <c r="K137" s="788"/>
      <c r="L137" s="808"/>
      <c r="M137" s="788">
        <f t="shared" si="6"/>
        <v>0</v>
      </c>
      <c r="N137" s="808"/>
      <c r="O137" s="788">
        <f t="shared" si="7"/>
        <v>0</v>
      </c>
      <c r="P137" s="788">
        <f t="shared" si="1"/>
        <v>0</v>
      </c>
    </row>
    <row r="138" spans="3:16">
      <c r="C138" s="784">
        <f>IF(D94="","-",+C137+1)</f>
        <v>2050</v>
      </c>
      <c r="D138" s="732">
        <f t="shared" si="2"/>
        <v>340308.27025641466</v>
      </c>
      <c r="E138" s="785">
        <f t="shared" si="4"/>
        <v>170154.13512820512</v>
      </c>
      <c r="F138" s="785">
        <f t="shared" si="0"/>
        <v>170154.13512820954</v>
      </c>
      <c r="G138" s="732">
        <f t="shared" si="3"/>
        <v>255231.2026923121</v>
      </c>
      <c r="H138" s="790">
        <f>+J95*G138+E138</f>
        <v>199671.66447013358</v>
      </c>
      <c r="I138" s="791">
        <f>+J96*G138+E138</f>
        <v>199671.66447013358</v>
      </c>
      <c r="J138" s="788">
        <f t="shared" si="5"/>
        <v>0</v>
      </c>
      <c r="K138" s="788"/>
      <c r="L138" s="808"/>
      <c r="M138" s="788">
        <f t="shared" si="6"/>
        <v>0</v>
      </c>
      <c r="N138" s="808"/>
      <c r="O138" s="788">
        <f t="shared" si="7"/>
        <v>0</v>
      </c>
      <c r="P138" s="788">
        <f t="shared" si="1"/>
        <v>0</v>
      </c>
    </row>
    <row r="139" spans="3:16">
      <c r="C139" s="784">
        <f>IF(D94="","-",+C138+1)</f>
        <v>2051</v>
      </c>
      <c r="D139" s="732">
        <f t="shared" si="2"/>
        <v>170154.13512820954</v>
      </c>
      <c r="E139" s="785">
        <f t="shared" si="4"/>
        <v>170154.13512820512</v>
      </c>
      <c r="F139" s="785">
        <f t="shared" si="0"/>
        <v>4.4237822294235229E-9</v>
      </c>
      <c r="G139" s="732">
        <f t="shared" si="3"/>
        <v>85077.067564106983</v>
      </c>
      <c r="H139" s="790">
        <f>+J95*G139+E139</f>
        <v>179993.31157551493</v>
      </c>
      <c r="I139" s="791">
        <f>+J96*G139+E139</f>
        <v>179993.31157551493</v>
      </c>
      <c r="J139" s="788">
        <f t="shared" si="5"/>
        <v>0</v>
      </c>
      <c r="K139" s="788"/>
      <c r="L139" s="808"/>
      <c r="M139" s="788">
        <f t="shared" si="6"/>
        <v>0</v>
      </c>
      <c r="N139" s="808"/>
      <c r="O139" s="788">
        <f t="shared" si="7"/>
        <v>0</v>
      </c>
      <c r="P139" s="788">
        <f t="shared" si="1"/>
        <v>0</v>
      </c>
    </row>
    <row r="140" spans="3:16">
      <c r="C140" s="784">
        <f>IF(D94="","-",+C139+1)</f>
        <v>2052</v>
      </c>
      <c r="D140" s="732">
        <f t="shared" si="2"/>
        <v>4.4237822294235229E-9</v>
      </c>
      <c r="E140" s="785">
        <f t="shared" si="4"/>
        <v>4.4237822294235229E-9</v>
      </c>
      <c r="F140" s="785">
        <f t="shared" si="0"/>
        <v>0</v>
      </c>
      <c r="G140" s="732">
        <f t="shared" si="3"/>
        <v>2.2118911147117615E-9</v>
      </c>
      <c r="H140" s="790">
        <f>+J95*G140+E140</f>
        <v>4.6795877899934957E-9</v>
      </c>
      <c r="I140" s="791">
        <f>+J96*G140+E140</f>
        <v>4.6795877899934957E-9</v>
      </c>
      <c r="J140" s="788">
        <f t="shared" si="5"/>
        <v>0</v>
      </c>
      <c r="K140" s="788"/>
      <c r="L140" s="808"/>
      <c r="M140" s="788">
        <f t="shared" si="6"/>
        <v>0</v>
      </c>
      <c r="N140" s="808"/>
      <c r="O140" s="788">
        <f t="shared" si="7"/>
        <v>0</v>
      </c>
      <c r="P140" s="788">
        <f t="shared" si="1"/>
        <v>0</v>
      </c>
    </row>
    <row r="141" spans="3:16">
      <c r="C141" s="784">
        <f>IF(D94="","-",+C140+1)</f>
        <v>2053</v>
      </c>
      <c r="D141" s="732">
        <f t="shared" si="2"/>
        <v>0</v>
      </c>
      <c r="E141" s="785">
        <f t="shared" si="4"/>
        <v>0</v>
      </c>
      <c r="F141" s="785">
        <f t="shared" si="0"/>
        <v>0</v>
      </c>
      <c r="G141" s="732">
        <f t="shared" si="3"/>
        <v>0</v>
      </c>
      <c r="H141" s="790">
        <f>+J95*G141+E141</f>
        <v>0</v>
      </c>
      <c r="I141" s="791">
        <f>+J96*G141+E141</f>
        <v>0</v>
      </c>
      <c r="J141" s="788">
        <f t="shared" si="5"/>
        <v>0</v>
      </c>
      <c r="K141" s="788"/>
      <c r="L141" s="808"/>
      <c r="M141" s="788">
        <f t="shared" si="6"/>
        <v>0</v>
      </c>
      <c r="N141" s="808"/>
      <c r="O141" s="788">
        <f t="shared" si="7"/>
        <v>0</v>
      </c>
      <c r="P141" s="788">
        <f t="shared" si="1"/>
        <v>0</v>
      </c>
    </row>
    <row r="142" spans="3:16">
      <c r="C142" s="784">
        <f>IF(D94="","-",+C141+1)</f>
        <v>2054</v>
      </c>
      <c r="D142" s="732">
        <f t="shared" si="2"/>
        <v>0</v>
      </c>
      <c r="E142" s="785">
        <f t="shared" si="4"/>
        <v>0</v>
      </c>
      <c r="F142" s="785">
        <f t="shared" si="0"/>
        <v>0</v>
      </c>
      <c r="G142" s="732">
        <f t="shared" si="3"/>
        <v>0</v>
      </c>
      <c r="H142" s="790">
        <f>+J95*G142+E142</f>
        <v>0</v>
      </c>
      <c r="I142" s="791">
        <f>+J96*G142+E142</f>
        <v>0</v>
      </c>
      <c r="J142" s="788">
        <f t="shared" si="5"/>
        <v>0</v>
      </c>
      <c r="K142" s="788"/>
      <c r="L142" s="808"/>
      <c r="M142" s="788">
        <f t="shared" si="6"/>
        <v>0</v>
      </c>
      <c r="N142" s="808"/>
      <c r="O142" s="788">
        <f t="shared" si="7"/>
        <v>0</v>
      </c>
      <c r="P142" s="788">
        <f t="shared" si="1"/>
        <v>0</v>
      </c>
    </row>
    <row r="143" spans="3:16">
      <c r="C143" s="784">
        <f>IF(D94="","-",+C142+1)</f>
        <v>2055</v>
      </c>
      <c r="D143" s="732">
        <f t="shared" si="2"/>
        <v>0</v>
      </c>
      <c r="E143" s="785">
        <f t="shared" si="4"/>
        <v>0</v>
      </c>
      <c r="F143" s="785">
        <f t="shared" si="0"/>
        <v>0</v>
      </c>
      <c r="G143" s="732">
        <f t="shared" si="3"/>
        <v>0</v>
      </c>
      <c r="H143" s="790">
        <f>+J95*G143+E143</f>
        <v>0</v>
      </c>
      <c r="I143" s="791">
        <f>+J96*G143+E143</f>
        <v>0</v>
      </c>
      <c r="J143" s="788">
        <f t="shared" si="5"/>
        <v>0</v>
      </c>
      <c r="K143" s="788"/>
      <c r="L143" s="808"/>
      <c r="M143" s="788">
        <f t="shared" si="6"/>
        <v>0</v>
      </c>
      <c r="N143" s="808"/>
      <c r="O143" s="788">
        <f t="shared" si="7"/>
        <v>0</v>
      </c>
      <c r="P143" s="788">
        <f t="shared" si="1"/>
        <v>0</v>
      </c>
    </row>
    <row r="144" spans="3:16">
      <c r="C144" s="784">
        <f>IF(D94="","-",+C143+1)</f>
        <v>2056</v>
      </c>
      <c r="D144" s="732">
        <f t="shared" si="2"/>
        <v>0</v>
      </c>
      <c r="E144" s="785">
        <f t="shared" si="4"/>
        <v>0</v>
      </c>
      <c r="F144" s="785">
        <f t="shared" si="0"/>
        <v>0</v>
      </c>
      <c r="G144" s="732">
        <f t="shared" si="3"/>
        <v>0</v>
      </c>
      <c r="H144" s="790">
        <f>+J95*G144+E144</f>
        <v>0</v>
      </c>
      <c r="I144" s="791">
        <f>+J96*G144+E144</f>
        <v>0</v>
      </c>
      <c r="J144" s="788">
        <f t="shared" si="5"/>
        <v>0</v>
      </c>
      <c r="K144" s="788"/>
      <c r="L144" s="808"/>
      <c r="M144" s="788">
        <f t="shared" si="6"/>
        <v>0</v>
      </c>
      <c r="N144" s="808"/>
      <c r="O144" s="788">
        <f t="shared" si="7"/>
        <v>0</v>
      </c>
      <c r="P144" s="788">
        <f t="shared" si="1"/>
        <v>0</v>
      </c>
    </row>
    <row r="145" spans="3:16">
      <c r="C145" s="784">
        <f>IF(D94="","-",+C144+1)</f>
        <v>2057</v>
      </c>
      <c r="D145" s="732">
        <f t="shared" si="2"/>
        <v>0</v>
      </c>
      <c r="E145" s="785">
        <f t="shared" si="4"/>
        <v>0</v>
      </c>
      <c r="F145" s="785">
        <f t="shared" si="0"/>
        <v>0</v>
      </c>
      <c r="G145" s="732">
        <f t="shared" si="3"/>
        <v>0</v>
      </c>
      <c r="H145" s="790">
        <f>+J95*G145+E145</f>
        <v>0</v>
      </c>
      <c r="I145" s="791">
        <f>+J96*G145+E145</f>
        <v>0</v>
      </c>
      <c r="J145" s="788">
        <f t="shared" si="5"/>
        <v>0</v>
      </c>
      <c r="K145" s="788"/>
      <c r="L145" s="808"/>
      <c r="M145" s="788">
        <f t="shared" si="6"/>
        <v>0</v>
      </c>
      <c r="N145" s="808"/>
      <c r="O145" s="788">
        <f t="shared" si="7"/>
        <v>0</v>
      </c>
      <c r="P145" s="788">
        <f t="shared" si="1"/>
        <v>0</v>
      </c>
    </row>
    <row r="146" spans="3:16">
      <c r="C146" s="784">
        <f>IF(D94="","-",+C145+1)</f>
        <v>2058</v>
      </c>
      <c r="D146" s="732">
        <f t="shared" si="2"/>
        <v>0</v>
      </c>
      <c r="E146" s="785">
        <f t="shared" si="4"/>
        <v>0</v>
      </c>
      <c r="F146" s="785">
        <f t="shared" si="0"/>
        <v>0</v>
      </c>
      <c r="G146" s="732">
        <f t="shared" si="3"/>
        <v>0</v>
      </c>
      <c r="H146" s="790">
        <f>+J95*G146+E146</f>
        <v>0</v>
      </c>
      <c r="I146" s="791">
        <f>+J96*G146+E146</f>
        <v>0</v>
      </c>
      <c r="J146" s="788">
        <f t="shared" si="5"/>
        <v>0</v>
      </c>
      <c r="K146" s="788"/>
      <c r="L146" s="808"/>
      <c r="M146" s="788">
        <f t="shared" si="6"/>
        <v>0</v>
      </c>
      <c r="N146" s="808"/>
      <c r="O146" s="788">
        <f t="shared" si="7"/>
        <v>0</v>
      </c>
      <c r="P146" s="788">
        <f t="shared" si="1"/>
        <v>0</v>
      </c>
    </row>
    <row r="147" spans="3:16">
      <c r="C147" s="784">
        <f>IF(D94="","-",+C146+1)</f>
        <v>2059</v>
      </c>
      <c r="D147" s="732">
        <f t="shared" si="2"/>
        <v>0</v>
      </c>
      <c r="E147" s="785">
        <f t="shared" si="4"/>
        <v>0</v>
      </c>
      <c r="F147" s="785">
        <f t="shared" si="0"/>
        <v>0</v>
      </c>
      <c r="G147" s="732">
        <f t="shared" si="3"/>
        <v>0</v>
      </c>
      <c r="H147" s="790">
        <f>+J95*G147+E147</f>
        <v>0</v>
      </c>
      <c r="I147" s="791">
        <f>+J96*G147+E147</f>
        <v>0</v>
      </c>
      <c r="J147" s="788">
        <f t="shared" si="5"/>
        <v>0</v>
      </c>
      <c r="K147" s="788"/>
      <c r="L147" s="808"/>
      <c r="M147" s="788">
        <f t="shared" si="6"/>
        <v>0</v>
      </c>
      <c r="N147" s="808"/>
      <c r="O147" s="788">
        <f t="shared" si="7"/>
        <v>0</v>
      </c>
      <c r="P147" s="788">
        <f t="shared" si="1"/>
        <v>0</v>
      </c>
    </row>
    <row r="148" spans="3:16">
      <c r="C148" s="784">
        <f>IF(D94="","-",+C147+1)</f>
        <v>2060</v>
      </c>
      <c r="D148" s="732">
        <f t="shared" si="2"/>
        <v>0</v>
      </c>
      <c r="E148" s="785">
        <f t="shared" si="4"/>
        <v>0</v>
      </c>
      <c r="F148" s="785">
        <f t="shared" si="0"/>
        <v>0</v>
      </c>
      <c r="G148" s="732">
        <f t="shared" si="3"/>
        <v>0</v>
      </c>
      <c r="H148" s="790">
        <f>+J95*G148+E148</f>
        <v>0</v>
      </c>
      <c r="I148" s="791">
        <f>+J96*G148+E148</f>
        <v>0</v>
      </c>
      <c r="J148" s="788">
        <f t="shared" si="5"/>
        <v>0</v>
      </c>
      <c r="K148" s="788"/>
      <c r="L148" s="808"/>
      <c r="M148" s="788">
        <f t="shared" si="6"/>
        <v>0</v>
      </c>
      <c r="N148" s="808"/>
      <c r="O148" s="788">
        <f t="shared" si="7"/>
        <v>0</v>
      </c>
      <c r="P148" s="788">
        <f t="shared" si="1"/>
        <v>0</v>
      </c>
    </row>
    <row r="149" spans="3:16">
      <c r="C149" s="784">
        <f>IF(D94="","-",+C148+1)</f>
        <v>2061</v>
      </c>
      <c r="D149" s="732">
        <f t="shared" si="2"/>
        <v>0</v>
      </c>
      <c r="E149" s="785">
        <f t="shared" si="4"/>
        <v>0</v>
      </c>
      <c r="F149" s="785">
        <f t="shared" si="0"/>
        <v>0</v>
      </c>
      <c r="G149" s="732">
        <f t="shared" si="3"/>
        <v>0</v>
      </c>
      <c r="H149" s="790">
        <f>+J95*G149+E149</f>
        <v>0</v>
      </c>
      <c r="I149" s="791">
        <f>+J96*G149+E149</f>
        <v>0</v>
      </c>
      <c r="J149" s="788">
        <f t="shared" si="5"/>
        <v>0</v>
      </c>
      <c r="K149" s="788"/>
      <c r="L149" s="808"/>
      <c r="M149" s="788">
        <f t="shared" si="6"/>
        <v>0</v>
      </c>
      <c r="N149" s="808"/>
      <c r="O149" s="788">
        <f t="shared" si="7"/>
        <v>0</v>
      </c>
      <c r="P149" s="788">
        <f t="shared" si="1"/>
        <v>0</v>
      </c>
    </row>
    <row r="150" spans="3:16">
      <c r="C150" s="784">
        <f>IF(D94="","-",+C149+1)</f>
        <v>2062</v>
      </c>
      <c r="D150" s="732">
        <f t="shared" si="2"/>
        <v>0</v>
      </c>
      <c r="E150" s="785">
        <f t="shared" si="4"/>
        <v>0</v>
      </c>
      <c r="F150" s="785">
        <f t="shared" si="0"/>
        <v>0</v>
      </c>
      <c r="G150" s="732">
        <f t="shared" si="3"/>
        <v>0</v>
      </c>
      <c r="H150" s="790">
        <f>+J95*G150+E150</f>
        <v>0</v>
      </c>
      <c r="I150" s="791">
        <f>+J96*G150+E150</f>
        <v>0</v>
      </c>
      <c r="J150" s="788">
        <f t="shared" si="5"/>
        <v>0</v>
      </c>
      <c r="K150" s="788"/>
      <c r="L150" s="808"/>
      <c r="M150" s="788">
        <f t="shared" si="6"/>
        <v>0</v>
      </c>
      <c r="N150" s="808"/>
      <c r="O150" s="788">
        <f t="shared" si="7"/>
        <v>0</v>
      </c>
      <c r="P150" s="788">
        <f t="shared" si="1"/>
        <v>0</v>
      </c>
    </row>
    <row r="151" spans="3:16">
      <c r="C151" s="784">
        <f>IF(D94="","-",+C150+1)</f>
        <v>2063</v>
      </c>
      <c r="D151" s="732">
        <f t="shared" si="2"/>
        <v>0</v>
      </c>
      <c r="E151" s="785">
        <f t="shared" si="4"/>
        <v>0</v>
      </c>
      <c r="F151" s="785">
        <f t="shared" si="0"/>
        <v>0</v>
      </c>
      <c r="G151" s="732">
        <f t="shared" si="3"/>
        <v>0</v>
      </c>
      <c r="H151" s="790">
        <f>+J95*G151+E151</f>
        <v>0</v>
      </c>
      <c r="I151" s="791">
        <f>+J96*G151+E151</f>
        <v>0</v>
      </c>
      <c r="J151" s="788">
        <f t="shared" si="5"/>
        <v>0</v>
      </c>
      <c r="K151" s="788"/>
      <c r="L151" s="808"/>
      <c r="M151" s="788">
        <f t="shared" si="6"/>
        <v>0</v>
      </c>
      <c r="N151" s="808"/>
      <c r="O151" s="788">
        <f t="shared" si="7"/>
        <v>0</v>
      </c>
      <c r="P151" s="788">
        <f t="shared" si="1"/>
        <v>0</v>
      </c>
    </row>
    <row r="152" spans="3:16">
      <c r="C152" s="784">
        <f>IF(D94="","-",+C151+1)</f>
        <v>2064</v>
      </c>
      <c r="D152" s="732">
        <f t="shared" si="2"/>
        <v>0</v>
      </c>
      <c r="E152" s="785">
        <f t="shared" si="4"/>
        <v>0</v>
      </c>
      <c r="F152" s="785">
        <f t="shared" si="0"/>
        <v>0</v>
      </c>
      <c r="G152" s="732">
        <f t="shared" si="3"/>
        <v>0</v>
      </c>
      <c r="H152" s="790">
        <f>+J95*G152+E152</f>
        <v>0</v>
      </c>
      <c r="I152" s="791">
        <f>+J96*G152+E152</f>
        <v>0</v>
      </c>
      <c r="J152" s="788">
        <f t="shared" si="5"/>
        <v>0</v>
      </c>
      <c r="K152" s="788"/>
      <c r="L152" s="808"/>
      <c r="M152" s="788">
        <f t="shared" si="6"/>
        <v>0</v>
      </c>
      <c r="N152" s="808"/>
      <c r="O152" s="788">
        <f t="shared" si="7"/>
        <v>0</v>
      </c>
      <c r="P152" s="788">
        <f t="shared" si="1"/>
        <v>0</v>
      </c>
    </row>
    <row r="153" spans="3:16">
      <c r="C153" s="784">
        <f>IF(D94="","-",+C152+1)</f>
        <v>2065</v>
      </c>
      <c r="D153" s="732">
        <f t="shared" si="2"/>
        <v>0</v>
      </c>
      <c r="E153" s="785">
        <f t="shared" si="4"/>
        <v>0</v>
      </c>
      <c r="F153" s="785">
        <f t="shared" si="0"/>
        <v>0</v>
      </c>
      <c r="G153" s="732">
        <f t="shared" si="3"/>
        <v>0</v>
      </c>
      <c r="H153" s="790">
        <f>+J95*G153+E153</f>
        <v>0</v>
      </c>
      <c r="I153" s="791">
        <f>+J96*G153+E153</f>
        <v>0</v>
      </c>
      <c r="J153" s="788">
        <f t="shared" si="5"/>
        <v>0</v>
      </c>
      <c r="K153" s="788"/>
      <c r="L153" s="808"/>
      <c r="M153" s="788">
        <f t="shared" si="6"/>
        <v>0</v>
      </c>
      <c r="N153" s="808"/>
      <c r="O153" s="788">
        <f t="shared" si="7"/>
        <v>0</v>
      </c>
      <c r="P153" s="788">
        <f t="shared" si="1"/>
        <v>0</v>
      </c>
    </row>
    <row r="154" spans="3:16">
      <c r="C154" s="784">
        <f>IF(D94="","-",+C153+1)</f>
        <v>2066</v>
      </c>
      <c r="D154" s="732">
        <f>F153</f>
        <v>0</v>
      </c>
      <c r="E154" s="785">
        <f t="shared" si="4"/>
        <v>0</v>
      </c>
      <c r="F154" s="785">
        <f t="shared" si="0"/>
        <v>0</v>
      </c>
      <c r="G154" s="732">
        <f t="shared" si="3"/>
        <v>0</v>
      </c>
      <c r="H154" s="790">
        <f>+J95*G154+E154</f>
        <v>0</v>
      </c>
      <c r="I154" s="791">
        <f>+J96*G154+E154</f>
        <v>0</v>
      </c>
      <c r="J154" s="788">
        <f t="shared" si="5"/>
        <v>0</v>
      </c>
      <c r="K154" s="788"/>
      <c r="L154" s="808"/>
      <c r="M154" s="788">
        <f t="shared" si="6"/>
        <v>0</v>
      </c>
      <c r="N154" s="808"/>
      <c r="O154" s="788">
        <f t="shared" si="7"/>
        <v>0</v>
      </c>
      <c r="P154" s="788">
        <f t="shared" si="1"/>
        <v>0</v>
      </c>
    </row>
    <row r="155" spans="3:16">
      <c r="C155" s="784">
        <f>IF(D94="","-",+C154+1)</f>
        <v>2067</v>
      </c>
      <c r="D155" s="732">
        <f t="shared" si="2"/>
        <v>0</v>
      </c>
      <c r="E155" s="785">
        <f t="shared" si="4"/>
        <v>0</v>
      </c>
      <c r="F155" s="785">
        <f t="shared" si="0"/>
        <v>0</v>
      </c>
      <c r="G155" s="732">
        <f t="shared" si="3"/>
        <v>0</v>
      </c>
      <c r="H155" s="790">
        <f>+J95*G155+E155</f>
        <v>0</v>
      </c>
      <c r="I155" s="791">
        <f>+J96*G155+E155</f>
        <v>0</v>
      </c>
      <c r="J155" s="788">
        <f t="shared" si="5"/>
        <v>0</v>
      </c>
      <c r="K155" s="788"/>
      <c r="L155" s="808"/>
      <c r="M155" s="788">
        <f t="shared" si="6"/>
        <v>0</v>
      </c>
      <c r="N155" s="808"/>
      <c r="O155" s="788">
        <f t="shared" si="7"/>
        <v>0</v>
      </c>
      <c r="P155" s="788">
        <f t="shared" si="1"/>
        <v>0</v>
      </c>
    </row>
    <row r="156" spans="3:16">
      <c r="C156" s="784">
        <f>IF(D94="","-",+C155+1)</f>
        <v>2068</v>
      </c>
      <c r="D156" s="732">
        <f t="shared" si="2"/>
        <v>0</v>
      </c>
      <c r="E156" s="785">
        <f t="shared" si="4"/>
        <v>0</v>
      </c>
      <c r="F156" s="785">
        <f t="shared" si="0"/>
        <v>0</v>
      </c>
      <c r="G156" s="732">
        <f t="shared" si="3"/>
        <v>0</v>
      </c>
      <c r="H156" s="790">
        <f>+J95*G156+E156</f>
        <v>0</v>
      </c>
      <c r="I156" s="791">
        <f>+J96*G156+E156</f>
        <v>0</v>
      </c>
      <c r="J156" s="788">
        <f t="shared" si="5"/>
        <v>0</v>
      </c>
      <c r="K156" s="788"/>
      <c r="L156" s="808"/>
      <c r="M156" s="788">
        <f t="shared" si="6"/>
        <v>0</v>
      </c>
      <c r="N156" s="808"/>
      <c r="O156" s="788">
        <f t="shared" si="7"/>
        <v>0</v>
      </c>
      <c r="P156" s="788">
        <f t="shared" si="1"/>
        <v>0</v>
      </c>
    </row>
    <row r="157" spans="3:16">
      <c r="C157" s="784">
        <f>IF(D94="","-",+C156+1)</f>
        <v>2069</v>
      </c>
      <c r="D157" s="732">
        <f t="shared" si="2"/>
        <v>0</v>
      </c>
      <c r="E157" s="785">
        <f t="shared" si="4"/>
        <v>0</v>
      </c>
      <c r="F157" s="785">
        <f t="shared" si="0"/>
        <v>0</v>
      </c>
      <c r="G157" s="732">
        <f t="shared" si="3"/>
        <v>0</v>
      </c>
      <c r="H157" s="790">
        <f>+J95*G157+E157</f>
        <v>0</v>
      </c>
      <c r="I157" s="791">
        <f>+J96*G157+E157</f>
        <v>0</v>
      </c>
      <c r="J157" s="788">
        <f t="shared" si="5"/>
        <v>0</v>
      </c>
      <c r="K157" s="788"/>
      <c r="L157" s="808"/>
      <c r="M157" s="788">
        <f t="shared" si="6"/>
        <v>0</v>
      </c>
      <c r="N157" s="808"/>
      <c r="O157" s="788">
        <f t="shared" si="7"/>
        <v>0</v>
      </c>
      <c r="P157" s="788">
        <f t="shared" si="1"/>
        <v>0</v>
      </c>
    </row>
    <row r="158" spans="3:16">
      <c r="C158" s="784">
        <f>IF(D94="","-",+C157+1)</f>
        <v>2070</v>
      </c>
      <c r="D158" s="732">
        <f t="shared" si="2"/>
        <v>0</v>
      </c>
      <c r="E158" s="785">
        <f t="shared" si="4"/>
        <v>0</v>
      </c>
      <c r="F158" s="785">
        <f t="shared" si="0"/>
        <v>0</v>
      </c>
      <c r="G158" s="732">
        <f t="shared" si="3"/>
        <v>0</v>
      </c>
      <c r="H158" s="790">
        <f>+J95*G158+E158</f>
        <v>0</v>
      </c>
      <c r="I158" s="791">
        <f>+J96*G158+E158</f>
        <v>0</v>
      </c>
      <c r="J158" s="788">
        <f t="shared" si="5"/>
        <v>0</v>
      </c>
      <c r="K158" s="788"/>
      <c r="L158" s="808"/>
      <c r="M158" s="788">
        <f t="shared" si="6"/>
        <v>0</v>
      </c>
      <c r="N158" s="808"/>
      <c r="O158" s="788">
        <f t="shared" si="7"/>
        <v>0</v>
      </c>
      <c r="P158" s="788">
        <f t="shared" si="1"/>
        <v>0</v>
      </c>
    </row>
    <row r="159" spans="3:16" ht="13.5" thickBot="1">
      <c r="C159" s="794">
        <f>IF(D94="","-",+C158+1)</f>
        <v>2071</v>
      </c>
      <c r="D159" s="795">
        <f t="shared" si="2"/>
        <v>0</v>
      </c>
      <c r="E159" s="796">
        <f t="shared" si="4"/>
        <v>0</v>
      </c>
      <c r="F159" s="796">
        <f t="shared" si="0"/>
        <v>0</v>
      </c>
      <c r="G159" s="795">
        <f t="shared" si="3"/>
        <v>0</v>
      </c>
      <c r="H159" s="797">
        <f>+J95*G159+E159</f>
        <v>0</v>
      </c>
      <c r="I159" s="797">
        <f>+J96*G159+E159</f>
        <v>0</v>
      </c>
      <c r="J159" s="798">
        <f t="shared" si="5"/>
        <v>0</v>
      </c>
      <c r="K159" s="788"/>
      <c r="L159" s="809"/>
      <c r="M159" s="798">
        <f t="shared" si="6"/>
        <v>0</v>
      </c>
      <c r="N159" s="809"/>
      <c r="O159" s="798">
        <f t="shared" si="7"/>
        <v>0</v>
      </c>
      <c r="P159" s="798">
        <f t="shared" si="1"/>
        <v>0</v>
      </c>
    </row>
    <row r="160" spans="3:16">
      <c r="C160" s="732" t="s">
        <v>93</v>
      </c>
      <c r="D160" s="726"/>
      <c r="E160" s="726">
        <f>SUM(E100:E159)</f>
        <v>6636011.2699999996</v>
      </c>
      <c r="F160" s="726"/>
      <c r="G160" s="726"/>
      <c r="H160" s="726">
        <f>SUM(H100:H159)</f>
        <v>22368854.409247622</v>
      </c>
      <c r="I160" s="726">
        <f>SUM(I100:I159)</f>
        <v>22368854.409247622</v>
      </c>
      <c r="J160" s="726">
        <f>SUM(J100:J159)</f>
        <v>0</v>
      </c>
      <c r="K160" s="726"/>
      <c r="L160" s="726"/>
      <c r="M160" s="726"/>
      <c r="N160" s="726"/>
      <c r="O160" s="726"/>
    </row>
    <row r="161" spans="1:17">
      <c r="D161" s="534"/>
      <c r="E161" s="313"/>
      <c r="F161" s="313"/>
      <c r="G161" s="313"/>
      <c r="H161" s="313"/>
      <c r="I161" s="704"/>
      <c r="J161" s="704"/>
      <c r="K161" s="726"/>
      <c r="L161" s="704"/>
      <c r="M161" s="704"/>
      <c r="N161" s="704"/>
      <c r="O161" s="704"/>
    </row>
    <row r="162" spans="1:17">
      <c r="C162" s="313" t="s">
        <v>15</v>
      </c>
      <c r="D162" s="534"/>
      <c r="E162" s="313"/>
      <c r="F162" s="313"/>
      <c r="G162" s="313"/>
      <c r="H162" s="313"/>
      <c r="I162" s="704"/>
      <c r="J162" s="704"/>
      <c r="K162" s="726"/>
      <c r="L162" s="704"/>
      <c r="M162" s="704"/>
      <c r="N162" s="704"/>
      <c r="O162" s="704"/>
    </row>
    <row r="163" spans="1:17">
      <c r="C163" s="313"/>
      <c r="D163" s="534"/>
      <c r="E163" s="313"/>
      <c r="F163" s="313"/>
      <c r="G163" s="313"/>
      <c r="H163" s="313"/>
      <c r="I163" s="704"/>
      <c r="J163" s="704"/>
      <c r="K163" s="726"/>
      <c r="L163" s="704"/>
      <c r="M163" s="704"/>
      <c r="N163" s="704"/>
      <c r="O163" s="704"/>
    </row>
    <row r="164" spans="1:17">
      <c r="C164" s="745" t="s">
        <v>16</v>
      </c>
      <c r="D164" s="732"/>
      <c r="E164" s="732"/>
      <c r="F164" s="732"/>
      <c r="G164" s="732"/>
      <c r="H164" s="726"/>
      <c r="I164" s="726"/>
      <c r="J164" s="800"/>
      <c r="K164" s="800"/>
      <c r="L164" s="800"/>
      <c r="M164" s="800"/>
      <c r="N164" s="800"/>
      <c r="O164" s="800"/>
    </row>
    <row r="165" spans="1:17">
      <c r="C165" s="731" t="s">
        <v>273</v>
      </c>
      <c r="D165" s="732"/>
      <c r="E165" s="732"/>
      <c r="F165" s="732"/>
      <c r="G165" s="732"/>
      <c r="H165" s="726"/>
      <c r="I165" s="726"/>
      <c r="J165" s="800"/>
      <c r="K165" s="800"/>
      <c r="L165" s="800"/>
      <c r="M165" s="800"/>
      <c r="N165" s="800"/>
      <c r="O165" s="800"/>
    </row>
    <row r="166" spans="1:17">
      <c r="C166" s="731" t="s">
        <v>94</v>
      </c>
      <c r="D166" s="732"/>
      <c r="E166" s="732"/>
      <c r="F166" s="732"/>
      <c r="G166" s="732"/>
      <c r="H166" s="726"/>
      <c r="I166" s="726"/>
      <c r="J166" s="800"/>
      <c r="K166" s="800"/>
      <c r="L166" s="800"/>
      <c r="M166" s="800"/>
      <c r="N166" s="800"/>
      <c r="O166" s="800"/>
    </row>
    <row r="167" spans="1:17">
      <c r="C167" s="731"/>
      <c r="D167" s="732"/>
      <c r="E167" s="732"/>
      <c r="F167" s="732"/>
      <c r="G167" s="732"/>
      <c r="H167" s="726"/>
      <c r="I167" s="726"/>
      <c r="J167" s="800"/>
      <c r="K167" s="800"/>
      <c r="L167" s="800"/>
      <c r="M167" s="800"/>
      <c r="N167" s="800"/>
      <c r="O167" s="800"/>
    </row>
    <row r="168" spans="1:17" ht="20.25">
      <c r="A168" s="733" t="str">
        <f>""&amp;A92&amp;" Worksheet K -  ATRR TRUE-UP Calculation for PJM Projects Charged to Benefiting Zones"</f>
        <v xml:space="preserve"> Worksheet K -  ATRR TRUE-UP Calculation for PJM Projects Charged to Benefiting Zones</v>
      </c>
      <c r="B168" s="346"/>
      <c r="C168" s="721"/>
      <c r="D168" s="534"/>
      <c r="E168" s="313"/>
      <c r="F168" s="703"/>
      <c r="G168" s="703"/>
      <c r="H168" s="313"/>
      <c r="I168" s="704"/>
      <c r="L168" s="560"/>
      <c r="M168" s="560"/>
      <c r="N168" s="560"/>
      <c r="O168" s="649" t="str">
        <f>"Page "&amp;SUM(Q$8:Q168)&amp;" of "</f>
        <v xml:space="preserve">Page 2 of </v>
      </c>
      <c r="P168" s="650">
        <f>COUNT(Q$8:Q$56657)</f>
        <v>10</v>
      </c>
      <c r="Q168" s="173">
        <v>1</v>
      </c>
    </row>
    <row r="169" spans="1:17">
      <c r="B169" s="346"/>
      <c r="C169" s="313"/>
      <c r="D169" s="534"/>
      <c r="E169" s="313"/>
      <c r="F169" s="313"/>
      <c r="G169" s="313"/>
      <c r="H169" s="313"/>
      <c r="I169" s="704"/>
      <c r="J169" s="313"/>
      <c r="K169" s="423"/>
    </row>
    <row r="170" spans="1:17" ht="18">
      <c r="B170" s="653" t="s">
        <v>474</v>
      </c>
      <c r="C170" s="735" t="s">
        <v>95</v>
      </c>
      <c r="D170" s="534"/>
      <c r="E170" s="313"/>
      <c r="F170" s="313"/>
      <c r="G170" s="313"/>
      <c r="H170" s="313"/>
      <c r="I170" s="704"/>
      <c r="J170" s="704"/>
      <c r="K170" s="726"/>
      <c r="L170" s="704"/>
      <c r="M170" s="704"/>
      <c r="N170" s="704"/>
      <c r="O170" s="704"/>
    </row>
    <row r="171" spans="1:17" ht="18.75">
      <c r="B171" s="653"/>
      <c r="C171" s="652"/>
      <c r="D171" s="534"/>
      <c r="E171" s="313"/>
      <c r="F171" s="313"/>
      <c r="G171" s="313"/>
      <c r="H171" s="313"/>
      <c r="I171" s="704"/>
      <c r="J171" s="704"/>
      <c r="K171" s="726"/>
      <c r="L171" s="704"/>
      <c r="M171" s="704"/>
      <c r="N171" s="704"/>
      <c r="O171" s="704"/>
    </row>
    <row r="172" spans="1:17" ht="18.75">
      <c r="B172" s="653"/>
      <c r="C172" s="652" t="s">
        <v>96</v>
      </c>
      <c r="D172" s="534"/>
      <c r="E172" s="313"/>
      <c r="F172" s="313"/>
      <c r="G172" s="313"/>
      <c r="H172" s="313"/>
      <c r="I172" s="704"/>
      <c r="J172" s="704"/>
      <c r="K172" s="726"/>
      <c r="L172" s="704"/>
      <c r="M172" s="704"/>
      <c r="N172" s="704"/>
      <c r="O172" s="704"/>
    </row>
    <row r="173" spans="1:17" ht="15.75" thickBot="1">
      <c r="C173" s="240"/>
      <c r="D173" s="534"/>
      <c r="E173" s="313"/>
      <c r="F173" s="313"/>
      <c r="G173" s="313"/>
      <c r="H173" s="313"/>
      <c r="I173" s="704"/>
      <c r="J173" s="704"/>
      <c r="K173" s="726"/>
      <c r="L173" s="704"/>
      <c r="M173" s="704"/>
      <c r="N173" s="704"/>
      <c r="O173" s="704"/>
    </row>
    <row r="174" spans="1:17" ht="15.75">
      <c r="C174" s="655" t="s">
        <v>97</v>
      </c>
      <c r="D174" s="534"/>
      <c r="E174" s="313"/>
      <c r="F174" s="313"/>
      <c r="G174" s="313"/>
      <c r="H174" s="802"/>
      <c r="I174" s="313" t="s">
        <v>76</v>
      </c>
      <c r="J174" s="313"/>
      <c r="K174" s="423"/>
      <c r="L174" s="831">
        <f>+J180</f>
        <v>2021</v>
      </c>
      <c r="M174" s="812" t="s">
        <v>54</v>
      </c>
      <c r="N174" s="812" t="s">
        <v>55</v>
      </c>
      <c r="O174" s="813" t="s">
        <v>57</v>
      </c>
    </row>
    <row r="175" spans="1:17" ht="15.75">
      <c r="C175" s="655"/>
      <c r="D175" s="534"/>
      <c r="E175" s="313"/>
      <c r="F175" s="313"/>
      <c r="H175" s="313"/>
      <c r="I175" s="740"/>
      <c r="J175" s="740"/>
      <c r="K175" s="741"/>
      <c r="L175" s="832" t="s">
        <v>245</v>
      </c>
      <c r="M175" s="833">
        <f>VLOOKUP(J180,C187:P246,10)</f>
        <v>1710359.8007120532</v>
      </c>
      <c r="N175" s="833">
        <f>VLOOKUP(J180,C187:P246,12)</f>
        <v>1710359.8007120532</v>
      </c>
      <c r="O175" s="834">
        <f>+N175-M175</f>
        <v>0</v>
      </c>
    </row>
    <row r="176" spans="1:17">
      <c r="C176" s="745" t="s">
        <v>98</v>
      </c>
      <c r="D176" s="1570" t="s">
        <v>816</v>
      </c>
      <c r="E176" s="1571"/>
      <c r="F176" s="1571"/>
      <c r="G176" s="1571"/>
      <c r="H176" s="1571"/>
      <c r="I176" s="1571"/>
      <c r="J176" s="704"/>
      <c r="K176" s="726"/>
      <c r="L176" s="832" t="s">
        <v>246</v>
      </c>
      <c r="M176" s="835">
        <f>VLOOKUP(J180,C187:P246,6)</f>
        <v>1794651.2409636737</v>
      </c>
      <c r="N176" s="835">
        <f>VLOOKUP(J180,C187:P246,7)</f>
        <v>1794651.2409636737</v>
      </c>
      <c r="O176" s="836">
        <f>+N176-M176</f>
        <v>0</v>
      </c>
    </row>
    <row r="177" spans="1:16" ht="13.5" thickBot="1">
      <c r="C177" s="749"/>
      <c r="D177" s="1571"/>
      <c r="E177" s="1571"/>
      <c r="F177" s="1571"/>
      <c r="G177" s="1571"/>
      <c r="H177" s="1571"/>
      <c r="I177" s="1571"/>
      <c r="J177" s="704"/>
      <c r="K177" s="726"/>
      <c r="L177" s="768" t="s">
        <v>247</v>
      </c>
      <c r="M177" s="837">
        <f>+M176-M175</f>
        <v>84291.440251620486</v>
      </c>
      <c r="N177" s="837">
        <f>+N176-N175</f>
        <v>84291.440251620486</v>
      </c>
      <c r="O177" s="838">
        <f>+O176-O175</f>
        <v>0</v>
      </c>
    </row>
    <row r="178" spans="1:16" ht="13.5" thickBot="1">
      <c r="C178" s="752"/>
      <c r="D178" s="753"/>
      <c r="E178" s="751"/>
      <c r="F178" s="751"/>
      <c r="G178" s="751"/>
      <c r="H178" s="751"/>
      <c r="I178" s="751"/>
      <c r="J178" s="751"/>
      <c r="K178" s="754"/>
      <c r="L178" s="751"/>
      <c r="M178" s="751"/>
      <c r="N178" s="751"/>
      <c r="O178" s="751"/>
      <c r="P178" s="346"/>
    </row>
    <row r="179" spans="1:16" ht="13.5" thickBot="1">
      <c r="C179" s="755" t="s">
        <v>99</v>
      </c>
      <c r="D179" s="756"/>
      <c r="E179" s="756"/>
      <c r="F179" s="756"/>
      <c r="G179" s="756"/>
      <c r="H179" s="756"/>
      <c r="I179" s="756"/>
      <c r="J179" s="756"/>
      <c r="K179" s="758"/>
      <c r="P179" s="759"/>
    </row>
    <row r="180" spans="1:16" ht="15">
      <c r="A180" s="1340"/>
      <c r="C180" s="760" t="s">
        <v>77</v>
      </c>
      <c r="D180" s="804">
        <v>15264783.67</v>
      </c>
      <c r="E180" s="721" t="s">
        <v>78</v>
      </c>
      <c r="H180" s="761"/>
      <c r="I180" s="761"/>
      <c r="J180" s="762">
        <f>$J$93</f>
        <v>2021</v>
      </c>
      <c r="K180" s="550"/>
      <c r="L180" s="1558" t="s">
        <v>79</v>
      </c>
      <c r="M180" s="1558"/>
      <c r="N180" s="1558"/>
      <c r="O180" s="1558"/>
      <c r="P180" s="423"/>
    </row>
    <row r="181" spans="1:16">
      <c r="C181" s="760" t="s">
        <v>80</v>
      </c>
      <c r="D181" s="1307">
        <v>2013</v>
      </c>
      <c r="E181" s="760" t="s">
        <v>81</v>
      </c>
      <c r="F181" s="761"/>
      <c r="G181" s="761"/>
      <c r="I181" s="173"/>
      <c r="J181" s="806">
        <f>IF(H174="",0,$F$17)</f>
        <v>0</v>
      </c>
      <c r="K181" s="763"/>
      <c r="L181" s="726" t="s">
        <v>287</v>
      </c>
      <c r="P181" s="423"/>
    </row>
    <row r="182" spans="1:16">
      <c r="C182" s="760" t="s">
        <v>82</v>
      </c>
      <c r="D182" s="804">
        <v>6</v>
      </c>
      <c r="E182" s="760" t="s">
        <v>83</v>
      </c>
      <c r="F182" s="761"/>
      <c r="G182" s="761"/>
      <c r="I182" s="173"/>
      <c r="J182" s="764">
        <f>$F$70</f>
        <v>0.11565015966136639</v>
      </c>
      <c r="K182" s="765"/>
      <c r="L182" s="313" t="str">
        <f>"          INPUT TRUE-UP ARR (WITH &amp; WITHOUT INCENTIVES) FROM EACH PRIOR YEAR"</f>
        <v xml:space="preserve">          INPUT TRUE-UP ARR (WITH &amp; WITHOUT INCENTIVES) FROM EACH PRIOR YEAR</v>
      </c>
      <c r="P182" s="423"/>
    </row>
    <row r="183" spans="1:16">
      <c r="C183" s="760" t="s">
        <v>84</v>
      </c>
      <c r="D183" s="766">
        <f>H$79</f>
        <v>39</v>
      </c>
      <c r="E183" s="760" t="s">
        <v>85</v>
      </c>
      <c r="F183" s="761"/>
      <c r="G183" s="761"/>
      <c r="I183" s="173"/>
      <c r="J183" s="764">
        <f>IF(H174="",+J182,$F$69)</f>
        <v>0.11565015966136639</v>
      </c>
      <c r="K183" s="767"/>
      <c r="L183" s="313" t="s">
        <v>167</v>
      </c>
      <c r="M183" s="767"/>
      <c r="N183" s="767"/>
      <c r="O183" s="767"/>
      <c r="P183" s="423"/>
    </row>
    <row r="184" spans="1:16" ht="13.5" thickBot="1">
      <c r="C184" s="760" t="s">
        <v>86</v>
      </c>
      <c r="D184" s="1331" t="s">
        <v>814</v>
      </c>
      <c r="E184" s="768" t="s">
        <v>87</v>
      </c>
      <c r="F184" s="769"/>
      <c r="G184" s="769"/>
      <c r="H184" s="770"/>
      <c r="I184" s="770"/>
      <c r="J184" s="748">
        <f>IF(D180=0,0,D180/D183)</f>
        <v>391404.70948717947</v>
      </c>
      <c r="K184" s="726"/>
      <c r="L184" s="726" t="s">
        <v>168</v>
      </c>
      <c r="M184" s="726"/>
      <c r="N184" s="726"/>
      <c r="O184" s="726"/>
      <c r="P184" s="423"/>
    </row>
    <row r="185" spans="1:16" ht="38.25">
      <c r="B185" s="841"/>
      <c r="C185" s="771" t="s">
        <v>77</v>
      </c>
      <c r="D185" s="772" t="s">
        <v>88</v>
      </c>
      <c r="E185" s="773" t="s">
        <v>89</v>
      </c>
      <c r="F185" s="772" t="s">
        <v>90</v>
      </c>
      <c r="G185" s="772" t="s">
        <v>248</v>
      </c>
      <c r="H185" s="773" t="s">
        <v>161</v>
      </c>
      <c r="I185" s="774" t="s">
        <v>161</v>
      </c>
      <c r="J185" s="771" t="s">
        <v>100</v>
      </c>
      <c r="K185" s="775"/>
      <c r="L185" s="773" t="s">
        <v>163</v>
      </c>
      <c r="M185" s="773" t="s">
        <v>169</v>
      </c>
      <c r="N185" s="773" t="s">
        <v>163</v>
      </c>
      <c r="O185" s="773" t="s">
        <v>171</v>
      </c>
      <c r="P185" s="773" t="s">
        <v>91</v>
      </c>
    </row>
    <row r="186" spans="1:16" ht="13.5" thickBot="1">
      <c r="C186" s="777" t="s">
        <v>477</v>
      </c>
      <c r="D186" s="778" t="s">
        <v>478</v>
      </c>
      <c r="E186" s="777" t="s">
        <v>371</v>
      </c>
      <c r="F186" s="778" t="s">
        <v>478</v>
      </c>
      <c r="G186" s="778" t="s">
        <v>478</v>
      </c>
      <c r="H186" s="779" t="s">
        <v>103</v>
      </c>
      <c r="I186" s="780" t="s">
        <v>105</v>
      </c>
      <c r="J186" s="781" t="s">
        <v>17</v>
      </c>
      <c r="K186" s="782"/>
      <c r="L186" s="779" t="s">
        <v>92</v>
      </c>
      <c r="M186" s="779" t="s">
        <v>92</v>
      </c>
      <c r="N186" s="779" t="s">
        <v>265</v>
      </c>
      <c r="O186" s="779" t="s">
        <v>265</v>
      </c>
      <c r="P186" s="779" t="s">
        <v>265</v>
      </c>
    </row>
    <row r="187" spans="1:16">
      <c r="C187" s="784">
        <f>IF(D181= "","-",D181)</f>
        <v>2013</v>
      </c>
      <c r="D187" s="732">
        <f>+D180</f>
        <v>15264783.67</v>
      </c>
      <c r="E187" s="790">
        <f>+J184/12*(12-D182)</f>
        <v>195702.35474358973</v>
      </c>
      <c r="F187" s="839">
        <f t="shared" ref="F187:F246" si="8">+D187-E187</f>
        <v>15069081.315256409</v>
      </c>
      <c r="G187" s="732">
        <f>+(D187+F187)/2</f>
        <v>15166932.492628206</v>
      </c>
      <c r="H187" s="786">
        <f>+J182*G187+E187</f>
        <v>1949760.5190892075</v>
      </c>
      <c r="I187" s="787">
        <f>+J183*G187+E187</f>
        <v>1949760.5190892075</v>
      </c>
      <c r="J187" s="788">
        <f>+I187-H187</f>
        <v>0</v>
      </c>
      <c r="K187" s="788"/>
      <c r="L187" s="1309">
        <v>1578782</v>
      </c>
      <c r="M187" s="840">
        <f t="shared" ref="M187:M246" si="9">IF(L187&lt;&gt;0,+H187-L187,0)</f>
        <v>370978.51908920752</v>
      </c>
      <c r="N187" s="1309">
        <v>1578782</v>
      </c>
      <c r="O187" s="840">
        <f t="shared" ref="O187:O246" si="10">IF(N187&lt;&gt;0,+I187-N187,0)</f>
        <v>370978.51908920752</v>
      </c>
      <c r="P187" s="840">
        <f t="shared" ref="P187:P246" si="11">+O187-M187</f>
        <v>0</v>
      </c>
    </row>
    <row r="188" spans="1:16">
      <c r="C188" s="784">
        <f>IF(D181="","-",+C187+1)</f>
        <v>2014</v>
      </c>
      <c r="D188" s="732">
        <f t="shared" ref="D188:D240" si="12">F187</f>
        <v>15069081.315256409</v>
      </c>
      <c r="E188" s="785">
        <f>IF(D188&gt;$J$184,$J$184,D188)</f>
        <v>391404.70948717947</v>
      </c>
      <c r="F188" s="785">
        <f t="shared" si="8"/>
        <v>14677676.60576923</v>
      </c>
      <c r="G188" s="732">
        <f t="shared" ref="G188:G246" si="13">+(D188+F188)/2</f>
        <v>14873378.960512821</v>
      </c>
      <c r="H188" s="790">
        <f>+J182*G188+E188</f>
        <v>2111513.3609744948</v>
      </c>
      <c r="I188" s="791">
        <f>+J183*G188+E188</f>
        <v>2111513.3609744948</v>
      </c>
      <c r="J188" s="788">
        <f>+I188-H188</f>
        <v>0</v>
      </c>
      <c r="K188" s="788"/>
      <c r="L188" s="1310">
        <v>1735811</v>
      </c>
      <c r="M188" s="788">
        <f t="shared" si="9"/>
        <v>375702.36097449483</v>
      </c>
      <c r="N188" s="1310">
        <v>1735811</v>
      </c>
      <c r="O188" s="788">
        <f t="shared" si="10"/>
        <v>375702.36097449483</v>
      </c>
      <c r="P188" s="788">
        <f t="shared" si="11"/>
        <v>0</v>
      </c>
    </row>
    <row r="189" spans="1:16">
      <c r="C189" s="784">
        <f>IF(D181="","-",+C188+1)</f>
        <v>2015</v>
      </c>
      <c r="D189" s="732">
        <f t="shared" si="12"/>
        <v>14677676.60576923</v>
      </c>
      <c r="E189" s="785">
        <f t="shared" ref="E189:E246" si="14">IF(D189&gt;$J$184,$J$184,D189)</f>
        <v>391404.70948717947</v>
      </c>
      <c r="F189" s="785">
        <f t="shared" si="8"/>
        <v>14286271.896282051</v>
      </c>
      <c r="G189" s="732">
        <f t="shared" si="13"/>
        <v>14481974.251025639</v>
      </c>
      <c r="H189" s="790">
        <f>+J182*G189+E189</f>
        <v>2066247.3438300916</v>
      </c>
      <c r="I189" s="791">
        <f>+J183*G189+E189</f>
        <v>2066247.3438300916</v>
      </c>
      <c r="J189" s="788">
        <f t="shared" ref="J189:J246" si="15">+I189-H189</f>
        <v>0</v>
      </c>
      <c r="K189" s="788"/>
      <c r="L189" s="1310">
        <v>1857418</v>
      </c>
      <c r="M189" s="788">
        <f t="shared" si="9"/>
        <v>208829.34383009165</v>
      </c>
      <c r="N189" s="1310">
        <v>1857418</v>
      </c>
      <c r="O189" s="788">
        <f t="shared" si="10"/>
        <v>208829.34383009165</v>
      </c>
      <c r="P189" s="788">
        <f t="shared" si="11"/>
        <v>0</v>
      </c>
    </row>
    <row r="190" spans="1:16">
      <c r="C190" s="784">
        <f>IF(D181="","-",+C189+1)</f>
        <v>2016</v>
      </c>
      <c r="D190" s="732">
        <f t="shared" si="12"/>
        <v>14286271.896282051</v>
      </c>
      <c r="E190" s="785">
        <f t="shared" si="14"/>
        <v>391404.70948717947</v>
      </c>
      <c r="F190" s="785">
        <f t="shared" si="8"/>
        <v>13894867.186794871</v>
      </c>
      <c r="G190" s="732">
        <f t="shared" si="13"/>
        <v>14090569.541538462</v>
      </c>
      <c r="H190" s="790">
        <f>+J182*G190+E190</f>
        <v>2020981.3266856889</v>
      </c>
      <c r="I190" s="791">
        <f>+J183*G190+E190</f>
        <v>2020981.3266856889</v>
      </c>
      <c r="J190" s="788">
        <f t="shared" si="15"/>
        <v>0</v>
      </c>
      <c r="K190" s="788"/>
      <c r="L190" s="1310">
        <v>1808629</v>
      </c>
      <c r="M190" s="788">
        <f t="shared" si="9"/>
        <v>212352.32668568892</v>
      </c>
      <c r="N190" s="1310">
        <v>1808629</v>
      </c>
      <c r="O190" s="788">
        <f t="shared" si="10"/>
        <v>212352.32668568892</v>
      </c>
      <c r="P190" s="788">
        <f t="shared" si="11"/>
        <v>0</v>
      </c>
    </row>
    <row r="191" spans="1:16">
      <c r="C191" s="784">
        <f>IF(D181="","-",+C190+1)</f>
        <v>2017</v>
      </c>
      <c r="D191" s="732">
        <f t="shared" si="12"/>
        <v>13894867.186794871</v>
      </c>
      <c r="E191" s="785">
        <f t="shared" si="14"/>
        <v>391404.70948717947</v>
      </c>
      <c r="F191" s="785">
        <f t="shared" si="8"/>
        <v>13503462.477307692</v>
      </c>
      <c r="G191" s="732">
        <f t="shared" si="13"/>
        <v>13699164.832051281</v>
      </c>
      <c r="H191" s="790">
        <f>+J182*G191+E191</f>
        <v>1975715.3095412857</v>
      </c>
      <c r="I191" s="791">
        <f>+J183*G191+E191</f>
        <v>1975715.3095412857</v>
      </c>
      <c r="J191" s="788">
        <f t="shared" si="15"/>
        <v>0</v>
      </c>
      <c r="K191" s="788"/>
      <c r="L191" s="1310">
        <v>1924179</v>
      </c>
      <c r="M191" s="788">
        <f t="shared" si="9"/>
        <v>51536.309541285736</v>
      </c>
      <c r="N191" s="1310">
        <v>1924179</v>
      </c>
      <c r="O191" s="788">
        <f t="shared" si="10"/>
        <v>51536.309541285736</v>
      </c>
      <c r="P191" s="788">
        <f t="shared" si="11"/>
        <v>0</v>
      </c>
    </row>
    <row r="192" spans="1:16">
      <c r="C192" s="784">
        <f>IF(D181="","-",+C191+1)</f>
        <v>2018</v>
      </c>
      <c r="D192" s="1402">
        <f t="shared" si="12"/>
        <v>13503462.477307692</v>
      </c>
      <c r="E192" s="785">
        <f t="shared" si="14"/>
        <v>391404.70948717947</v>
      </c>
      <c r="F192" s="785">
        <f t="shared" si="8"/>
        <v>13112057.767820513</v>
      </c>
      <c r="G192" s="732">
        <f t="shared" si="13"/>
        <v>13307760.122564103</v>
      </c>
      <c r="H192" s="790">
        <f>+J182*G192+E192</f>
        <v>1930449.292396883</v>
      </c>
      <c r="I192" s="791">
        <f>+J183*G192+E192</f>
        <v>1930449.292396883</v>
      </c>
      <c r="J192" s="788">
        <f t="shared" si="15"/>
        <v>0</v>
      </c>
      <c r="K192" s="788"/>
      <c r="L192" s="1310">
        <v>1648242</v>
      </c>
      <c r="M192" s="788">
        <f t="shared" si="9"/>
        <v>282207.29239688301</v>
      </c>
      <c r="N192" s="1310">
        <v>1648242</v>
      </c>
      <c r="O192" s="788">
        <f t="shared" si="10"/>
        <v>282207.29239688301</v>
      </c>
      <c r="P192" s="788">
        <f t="shared" si="11"/>
        <v>0</v>
      </c>
    </row>
    <row r="193" spans="3:16">
      <c r="C193" s="784">
        <f>IF(D181="","-",+C192+1)</f>
        <v>2019</v>
      </c>
      <c r="D193" s="1332">
        <f t="shared" si="12"/>
        <v>13112057.767820513</v>
      </c>
      <c r="E193" s="785">
        <f t="shared" si="14"/>
        <v>391404.70948717947</v>
      </c>
      <c r="F193" s="785">
        <f t="shared" si="8"/>
        <v>12720653.058333334</v>
      </c>
      <c r="G193" s="732">
        <f t="shared" si="13"/>
        <v>12916355.413076922</v>
      </c>
      <c r="H193" s="790">
        <f>+J182*G193+E193</f>
        <v>1885183.2752524796</v>
      </c>
      <c r="I193" s="791">
        <f>+J183*G193+E193</f>
        <v>1885183.2752524796</v>
      </c>
      <c r="J193" s="788">
        <f t="shared" si="15"/>
        <v>0</v>
      </c>
      <c r="K193" s="788"/>
      <c r="L193" s="1310">
        <v>1728141</v>
      </c>
      <c r="M193" s="788">
        <f t="shared" si="9"/>
        <v>157042.27525247959</v>
      </c>
      <c r="N193" s="1310">
        <v>1728141</v>
      </c>
      <c r="O193" s="788">
        <f t="shared" si="10"/>
        <v>157042.27525247959</v>
      </c>
      <c r="P193" s="788">
        <f t="shared" si="11"/>
        <v>0</v>
      </c>
    </row>
    <row r="194" spans="3:16">
      <c r="C194" s="784">
        <f>IF(D181="","-",+C193+1)</f>
        <v>2020</v>
      </c>
      <c r="D194" s="732">
        <f t="shared" si="12"/>
        <v>12720653.058333334</v>
      </c>
      <c r="E194" s="785">
        <f t="shared" si="14"/>
        <v>391404.70948717947</v>
      </c>
      <c r="F194" s="785">
        <f t="shared" si="8"/>
        <v>12329248.348846154</v>
      </c>
      <c r="G194" s="732">
        <f t="shared" si="13"/>
        <v>12524950.703589745</v>
      </c>
      <c r="H194" s="790">
        <f>+J182*G194+E194</f>
        <v>1839917.2581080769</v>
      </c>
      <c r="I194" s="791">
        <f>+J183*G194+E194</f>
        <v>1839917.2581080769</v>
      </c>
      <c r="J194" s="788">
        <f t="shared" si="15"/>
        <v>0</v>
      </c>
      <c r="K194" s="788"/>
      <c r="L194" s="1310">
        <v>1748229.4747008712</v>
      </c>
      <c r="M194" s="788">
        <f t="shared" si="9"/>
        <v>91687.783407205716</v>
      </c>
      <c r="N194" s="1310">
        <v>1748229.4747008712</v>
      </c>
      <c r="O194" s="788">
        <f t="shared" si="10"/>
        <v>91687.783407205716</v>
      </c>
      <c r="P194" s="788">
        <f t="shared" si="11"/>
        <v>0</v>
      </c>
    </row>
    <row r="195" spans="3:16">
      <c r="C195" s="784">
        <f>IF(D181="","-",+C194+1)</f>
        <v>2021</v>
      </c>
      <c r="D195" s="732">
        <f t="shared" si="12"/>
        <v>12329248.348846154</v>
      </c>
      <c r="E195" s="785">
        <f t="shared" si="14"/>
        <v>391404.70948717947</v>
      </c>
      <c r="F195" s="785">
        <f t="shared" si="8"/>
        <v>11937843.639358975</v>
      </c>
      <c r="G195" s="732">
        <f t="shared" si="13"/>
        <v>12133545.994102564</v>
      </c>
      <c r="H195" s="790">
        <f>+J182*G195+E195</f>
        <v>1794651.2409636737</v>
      </c>
      <c r="I195" s="791">
        <f>+J183*G195+E195</f>
        <v>1794651.2409636737</v>
      </c>
      <c r="J195" s="788">
        <f t="shared" si="15"/>
        <v>0</v>
      </c>
      <c r="K195" s="788"/>
      <c r="L195" s="1310">
        <v>1710359.8007120532</v>
      </c>
      <c r="M195" s="788">
        <f t="shared" si="9"/>
        <v>84291.440251620486</v>
      </c>
      <c r="N195" s="1310">
        <v>1710359.8007120532</v>
      </c>
      <c r="O195" s="788">
        <f t="shared" si="10"/>
        <v>84291.440251620486</v>
      </c>
      <c r="P195" s="788">
        <f t="shared" si="11"/>
        <v>0</v>
      </c>
    </row>
    <row r="196" spans="3:16">
      <c r="C196" s="784">
        <f>IF(D181="","-",+C195+1)</f>
        <v>2022</v>
      </c>
      <c r="D196" s="732">
        <f t="shared" si="12"/>
        <v>11937843.639358975</v>
      </c>
      <c r="E196" s="785">
        <f t="shared" si="14"/>
        <v>391404.70948717947</v>
      </c>
      <c r="F196" s="785">
        <f t="shared" si="8"/>
        <v>11546438.929871796</v>
      </c>
      <c r="G196" s="732">
        <f t="shared" si="13"/>
        <v>11742141.284615386</v>
      </c>
      <c r="H196" s="790">
        <f>+J182*G196+E196</f>
        <v>1749385.223819271</v>
      </c>
      <c r="I196" s="791">
        <f>+J183*G196+E196</f>
        <v>1749385.223819271</v>
      </c>
      <c r="J196" s="788">
        <f t="shared" si="15"/>
        <v>0</v>
      </c>
      <c r="K196" s="788"/>
      <c r="L196" s="1310"/>
      <c r="M196" s="788">
        <f t="shared" si="9"/>
        <v>0</v>
      </c>
      <c r="N196" s="1310"/>
      <c r="O196" s="788">
        <f t="shared" si="10"/>
        <v>0</v>
      </c>
      <c r="P196" s="788">
        <f t="shared" si="11"/>
        <v>0</v>
      </c>
    </row>
    <row r="197" spans="3:16">
      <c r="C197" s="784">
        <f>IF(D181="","-",+C196+1)</f>
        <v>2023</v>
      </c>
      <c r="D197" s="732">
        <f t="shared" si="12"/>
        <v>11546438.929871796</v>
      </c>
      <c r="E197" s="785">
        <f t="shared" si="14"/>
        <v>391404.70948717947</v>
      </c>
      <c r="F197" s="785">
        <f t="shared" si="8"/>
        <v>11155034.220384616</v>
      </c>
      <c r="G197" s="732">
        <f t="shared" si="13"/>
        <v>11350736.575128205</v>
      </c>
      <c r="H197" s="790">
        <f>+J182*G197+E197</f>
        <v>1704119.2066748675</v>
      </c>
      <c r="I197" s="791">
        <f>+J183*G197+E197</f>
        <v>1704119.2066748675</v>
      </c>
      <c r="J197" s="788">
        <f t="shared" si="15"/>
        <v>0</v>
      </c>
      <c r="K197" s="788"/>
      <c r="L197" s="1310"/>
      <c r="M197" s="788">
        <f t="shared" si="9"/>
        <v>0</v>
      </c>
      <c r="N197" s="1310"/>
      <c r="O197" s="788">
        <f t="shared" si="10"/>
        <v>0</v>
      </c>
      <c r="P197" s="788">
        <f t="shared" si="11"/>
        <v>0</v>
      </c>
    </row>
    <row r="198" spans="3:16">
      <c r="C198" s="784">
        <f>IF(D181="","-",+C197+1)</f>
        <v>2024</v>
      </c>
      <c r="D198" s="732">
        <f t="shared" si="12"/>
        <v>11155034.220384616</v>
      </c>
      <c r="E198" s="785">
        <f t="shared" si="14"/>
        <v>391404.70948717947</v>
      </c>
      <c r="F198" s="785">
        <f t="shared" si="8"/>
        <v>10763629.510897437</v>
      </c>
      <c r="G198" s="732">
        <f t="shared" si="13"/>
        <v>10959331.865641028</v>
      </c>
      <c r="H198" s="790">
        <f>+J182*G198+E198</f>
        <v>1658853.1895304648</v>
      </c>
      <c r="I198" s="791">
        <f>+J183*G198+E198</f>
        <v>1658853.1895304648</v>
      </c>
      <c r="J198" s="788">
        <f t="shared" si="15"/>
        <v>0</v>
      </c>
      <c r="K198" s="788"/>
      <c r="L198" s="1310"/>
      <c r="M198" s="788">
        <f t="shared" si="9"/>
        <v>0</v>
      </c>
      <c r="N198" s="1310"/>
      <c r="O198" s="788">
        <f t="shared" si="10"/>
        <v>0</v>
      </c>
      <c r="P198" s="788">
        <f t="shared" si="11"/>
        <v>0</v>
      </c>
    </row>
    <row r="199" spans="3:16">
      <c r="C199" s="784">
        <f>IF(D181="","-",+C198+1)</f>
        <v>2025</v>
      </c>
      <c r="D199" s="732">
        <f t="shared" si="12"/>
        <v>10763629.510897437</v>
      </c>
      <c r="E199" s="785">
        <f t="shared" si="14"/>
        <v>391404.70948717947</v>
      </c>
      <c r="F199" s="785">
        <f t="shared" si="8"/>
        <v>10372224.801410258</v>
      </c>
      <c r="G199" s="732">
        <f t="shared" si="13"/>
        <v>10567927.156153847</v>
      </c>
      <c r="H199" s="790">
        <f>+J182*G199+E199</f>
        <v>1613587.1723860616</v>
      </c>
      <c r="I199" s="791">
        <f>+J183*G199+E199</f>
        <v>1613587.1723860616</v>
      </c>
      <c r="J199" s="788">
        <f t="shared" si="15"/>
        <v>0</v>
      </c>
      <c r="K199" s="788"/>
      <c r="L199" s="1310"/>
      <c r="M199" s="788">
        <f t="shared" si="9"/>
        <v>0</v>
      </c>
      <c r="N199" s="1310"/>
      <c r="O199" s="788">
        <f t="shared" si="10"/>
        <v>0</v>
      </c>
      <c r="P199" s="788">
        <f t="shared" si="11"/>
        <v>0</v>
      </c>
    </row>
    <row r="200" spans="3:16">
      <c r="C200" s="784">
        <f>IF(D181="","-",+C199+1)</f>
        <v>2026</v>
      </c>
      <c r="D200" s="732">
        <f t="shared" si="12"/>
        <v>10372224.801410258</v>
      </c>
      <c r="E200" s="785">
        <f t="shared" si="14"/>
        <v>391404.70948717947</v>
      </c>
      <c r="F200" s="785">
        <f t="shared" si="8"/>
        <v>9980820.0919230785</v>
      </c>
      <c r="G200" s="732">
        <f t="shared" si="13"/>
        <v>10176522.446666669</v>
      </c>
      <c r="H200" s="790">
        <f>+J182*G200+E200</f>
        <v>1568321.1552416587</v>
      </c>
      <c r="I200" s="791">
        <f>+J183*G200+E200</f>
        <v>1568321.1552416587</v>
      </c>
      <c r="J200" s="788">
        <f t="shared" si="15"/>
        <v>0</v>
      </c>
      <c r="K200" s="788"/>
      <c r="L200" s="1310"/>
      <c r="M200" s="788">
        <f t="shared" si="9"/>
        <v>0</v>
      </c>
      <c r="N200" s="1310"/>
      <c r="O200" s="788">
        <f t="shared" si="10"/>
        <v>0</v>
      </c>
      <c r="P200" s="788">
        <f t="shared" si="11"/>
        <v>0</v>
      </c>
    </row>
    <row r="201" spans="3:16">
      <c r="C201" s="784">
        <f>IF(D181="","-",+C200+1)</f>
        <v>2027</v>
      </c>
      <c r="D201" s="732">
        <f t="shared" si="12"/>
        <v>9980820.0919230785</v>
      </c>
      <c r="E201" s="785">
        <f t="shared" si="14"/>
        <v>391404.70948717947</v>
      </c>
      <c r="F201" s="785">
        <f t="shared" si="8"/>
        <v>9589415.3824358992</v>
      </c>
      <c r="G201" s="732">
        <f t="shared" si="13"/>
        <v>9785117.7371794879</v>
      </c>
      <c r="H201" s="790">
        <f>+J182*G201+E201</f>
        <v>1523055.1380972555</v>
      </c>
      <c r="I201" s="791">
        <f>+J183*G201+E201</f>
        <v>1523055.1380972555</v>
      </c>
      <c r="J201" s="788">
        <f t="shared" si="15"/>
        <v>0</v>
      </c>
      <c r="K201" s="788"/>
      <c r="L201" s="1310"/>
      <c r="M201" s="788">
        <f t="shared" si="9"/>
        <v>0</v>
      </c>
      <c r="N201" s="1310"/>
      <c r="O201" s="788">
        <f t="shared" si="10"/>
        <v>0</v>
      </c>
      <c r="P201" s="788">
        <f t="shared" si="11"/>
        <v>0</v>
      </c>
    </row>
    <row r="202" spans="3:16">
      <c r="C202" s="784">
        <f>IF(D181="","-",+C201+1)</f>
        <v>2028</v>
      </c>
      <c r="D202" s="732">
        <f t="shared" si="12"/>
        <v>9589415.3824358992</v>
      </c>
      <c r="E202" s="785">
        <f t="shared" si="14"/>
        <v>391404.70948717947</v>
      </c>
      <c r="F202" s="785">
        <f t="shared" si="8"/>
        <v>9198010.6729487199</v>
      </c>
      <c r="G202" s="732">
        <f t="shared" si="13"/>
        <v>9393713.0276923105</v>
      </c>
      <c r="H202" s="790">
        <f>+J182*G202+E202</f>
        <v>1477789.1209528528</v>
      </c>
      <c r="I202" s="791">
        <f>+J183*G202+E202</f>
        <v>1477789.1209528528</v>
      </c>
      <c r="J202" s="788">
        <f t="shared" si="15"/>
        <v>0</v>
      </c>
      <c r="K202" s="788"/>
      <c r="L202" s="1310"/>
      <c r="M202" s="788">
        <f t="shared" si="9"/>
        <v>0</v>
      </c>
      <c r="N202" s="1310"/>
      <c r="O202" s="788">
        <f t="shared" si="10"/>
        <v>0</v>
      </c>
      <c r="P202" s="788">
        <f t="shared" si="11"/>
        <v>0</v>
      </c>
    </row>
    <row r="203" spans="3:16">
      <c r="C203" s="784">
        <f>IF(D181="","-",+C202+1)</f>
        <v>2029</v>
      </c>
      <c r="D203" s="732">
        <f t="shared" si="12"/>
        <v>9198010.6729487199</v>
      </c>
      <c r="E203" s="785">
        <f t="shared" si="14"/>
        <v>391404.70948717947</v>
      </c>
      <c r="F203" s="785">
        <f t="shared" si="8"/>
        <v>8806605.9634615406</v>
      </c>
      <c r="G203" s="732">
        <f t="shared" si="13"/>
        <v>9002308.3182051294</v>
      </c>
      <c r="H203" s="790">
        <f>+J182*G203+E203</f>
        <v>1432523.1038084496</v>
      </c>
      <c r="I203" s="791">
        <f>+J183*G203+E203</f>
        <v>1432523.1038084496</v>
      </c>
      <c r="J203" s="788">
        <f t="shared" si="15"/>
        <v>0</v>
      </c>
      <c r="K203" s="788"/>
      <c r="L203" s="1310"/>
      <c r="M203" s="788">
        <f t="shared" si="9"/>
        <v>0</v>
      </c>
      <c r="N203" s="1310"/>
      <c r="O203" s="788">
        <f t="shared" si="10"/>
        <v>0</v>
      </c>
      <c r="P203" s="788">
        <f t="shared" si="11"/>
        <v>0</v>
      </c>
    </row>
    <row r="204" spans="3:16">
      <c r="C204" s="784">
        <f>IF(D181="","-",+C203+1)</f>
        <v>2030</v>
      </c>
      <c r="D204" s="732">
        <f t="shared" si="12"/>
        <v>8806605.9634615406</v>
      </c>
      <c r="E204" s="785">
        <f t="shared" si="14"/>
        <v>391404.70948717947</v>
      </c>
      <c r="F204" s="785">
        <f t="shared" si="8"/>
        <v>8415201.2539743613</v>
      </c>
      <c r="G204" s="732">
        <f t="shared" si="13"/>
        <v>8610903.6087179519</v>
      </c>
      <c r="H204" s="790">
        <f>+J182*G204+E204</f>
        <v>1387257.0866640466</v>
      </c>
      <c r="I204" s="791">
        <f>+J183*G204+E204</f>
        <v>1387257.0866640466</v>
      </c>
      <c r="J204" s="788">
        <f t="shared" si="15"/>
        <v>0</v>
      </c>
      <c r="K204" s="788"/>
      <c r="L204" s="1310"/>
      <c r="M204" s="788">
        <f t="shared" si="9"/>
        <v>0</v>
      </c>
      <c r="N204" s="1310"/>
      <c r="O204" s="788">
        <f t="shared" si="10"/>
        <v>0</v>
      </c>
      <c r="P204" s="788">
        <f t="shared" si="11"/>
        <v>0</v>
      </c>
    </row>
    <row r="205" spans="3:16">
      <c r="C205" s="784">
        <f>IF(D181="","-",+C204+1)</f>
        <v>2031</v>
      </c>
      <c r="D205" s="732">
        <f t="shared" si="12"/>
        <v>8415201.2539743613</v>
      </c>
      <c r="E205" s="785">
        <f t="shared" si="14"/>
        <v>391404.70948717947</v>
      </c>
      <c r="F205" s="785">
        <f t="shared" si="8"/>
        <v>8023796.5444871821</v>
      </c>
      <c r="G205" s="732">
        <f t="shared" si="13"/>
        <v>8219498.8992307717</v>
      </c>
      <c r="H205" s="790">
        <f>+J182*G205+E205</f>
        <v>1341991.0695196434</v>
      </c>
      <c r="I205" s="791">
        <f>+J183*G205+E205</f>
        <v>1341991.0695196434</v>
      </c>
      <c r="J205" s="788">
        <f t="shared" si="15"/>
        <v>0</v>
      </c>
      <c r="K205" s="788"/>
      <c r="L205" s="1310"/>
      <c r="M205" s="788">
        <f t="shared" si="9"/>
        <v>0</v>
      </c>
      <c r="N205" s="1310"/>
      <c r="O205" s="788">
        <f t="shared" si="10"/>
        <v>0</v>
      </c>
      <c r="P205" s="788">
        <f t="shared" si="11"/>
        <v>0</v>
      </c>
    </row>
    <row r="206" spans="3:16">
      <c r="C206" s="784">
        <f>IF(D181="","-",+C205+1)</f>
        <v>2032</v>
      </c>
      <c r="D206" s="732">
        <f t="shared" si="12"/>
        <v>8023796.5444871821</v>
      </c>
      <c r="E206" s="785">
        <f t="shared" si="14"/>
        <v>391404.70948717947</v>
      </c>
      <c r="F206" s="785">
        <f t="shared" si="8"/>
        <v>7632391.8350000028</v>
      </c>
      <c r="G206" s="732">
        <f t="shared" si="13"/>
        <v>7828094.1897435924</v>
      </c>
      <c r="H206" s="790">
        <f>+J182*G206+E206</f>
        <v>1296725.0523752405</v>
      </c>
      <c r="I206" s="791">
        <f>+J183*G206+E206</f>
        <v>1296725.0523752405</v>
      </c>
      <c r="J206" s="788">
        <f t="shared" si="15"/>
        <v>0</v>
      </c>
      <c r="K206" s="788"/>
      <c r="L206" s="1310"/>
      <c r="M206" s="788">
        <f t="shared" si="9"/>
        <v>0</v>
      </c>
      <c r="N206" s="1310"/>
      <c r="O206" s="788">
        <f t="shared" si="10"/>
        <v>0</v>
      </c>
      <c r="P206" s="788">
        <f t="shared" si="11"/>
        <v>0</v>
      </c>
    </row>
    <row r="207" spans="3:16">
      <c r="C207" s="784">
        <f>IF(D181="","-",+C206+1)</f>
        <v>2033</v>
      </c>
      <c r="D207" s="732">
        <f t="shared" si="12"/>
        <v>7632391.8350000028</v>
      </c>
      <c r="E207" s="785">
        <f t="shared" si="14"/>
        <v>391404.70948717947</v>
      </c>
      <c r="F207" s="785">
        <f t="shared" si="8"/>
        <v>7240987.1255128235</v>
      </c>
      <c r="G207" s="732">
        <f t="shared" si="13"/>
        <v>7436689.4802564131</v>
      </c>
      <c r="H207" s="790">
        <f>+J182*G207+E207</f>
        <v>1251459.0352308375</v>
      </c>
      <c r="I207" s="791">
        <f>+J183*G207+E207</f>
        <v>1251459.0352308375</v>
      </c>
      <c r="J207" s="788">
        <f t="shared" si="15"/>
        <v>0</v>
      </c>
      <c r="K207" s="788"/>
      <c r="L207" s="1310"/>
      <c r="M207" s="788">
        <f t="shared" si="9"/>
        <v>0</v>
      </c>
      <c r="N207" s="1310"/>
      <c r="O207" s="788">
        <f t="shared" si="10"/>
        <v>0</v>
      </c>
      <c r="P207" s="788">
        <f t="shared" si="11"/>
        <v>0</v>
      </c>
    </row>
    <row r="208" spans="3:16">
      <c r="C208" s="784">
        <f>IF(D181="","-",+C207+1)</f>
        <v>2034</v>
      </c>
      <c r="D208" s="732">
        <f t="shared" si="12"/>
        <v>7240987.1255128235</v>
      </c>
      <c r="E208" s="785">
        <f t="shared" si="14"/>
        <v>391404.70948717947</v>
      </c>
      <c r="F208" s="785">
        <f t="shared" si="8"/>
        <v>6849582.4160256442</v>
      </c>
      <c r="G208" s="732">
        <f t="shared" si="13"/>
        <v>7045284.7707692338</v>
      </c>
      <c r="H208" s="790">
        <f>+J182*G208+E208</f>
        <v>1206193.0180864346</v>
      </c>
      <c r="I208" s="791">
        <f>+J183*G208+E208</f>
        <v>1206193.0180864346</v>
      </c>
      <c r="J208" s="788">
        <f t="shared" si="15"/>
        <v>0</v>
      </c>
      <c r="K208" s="788"/>
      <c r="L208" s="1310"/>
      <c r="M208" s="788">
        <f t="shared" si="9"/>
        <v>0</v>
      </c>
      <c r="N208" s="1310"/>
      <c r="O208" s="788">
        <f t="shared" si="10"/>
        <v>0</v>
      </c>
      <c r="P208" s="788">
        <f t="shared" si="11"/>
        <v>0</v>
      </c>
    </row>
    <row r="209" spans="3:16">
      <c r="C209" s="784">
        <f>IF(D181="","-",+C208+1)</f>
        <v>2035</v>
      </c>
      <c r="D209" s="732">
        <f t="shared" si="12"/>
        <v>6849582.4160256442</v>
      </c>
      <c r="E209" s="785">
        <f t="shared" si="14"/>
        <v>391404.70948717947</v>
      </c>
      <c r="F209" s="785">
        <f t="shared" si="8"/>
        <v>6458177.7065384649</v>
      </c>
      <c r="G209" s="732">
        <f t="shared" si="13"/>
        <v>6653880.0612820545</v>
      </c>
      <c r="H209" s="790">
        <f>+J182*G209+E209</f>
        <v>1160927.0009420314</v>
      </c>
      <c r="I209" s="791">
        <f>+J183*G209+E209</f>
        <v>1160927.0009420314</v>
      </c>
      <c r="J209" s="788">
        <f t="shared" si="15"/>
        <v>0</v>
      </c>
      <c r="K209" s="788"/>
      <c r="L209" s="1310"/>
      <c r="M209" s="788">
        <f t="shared" si="9"/>
        <v>0</v>
      </c>
      <c r="N209" s="1310"/>
      <c r="O209" s="788">
        <f t="shared" si="10"/>
        <v>0</v>
      </c>
      <c r="P209" s="788">
        <f t="shared" si="11"/>
        <v>0</v>
      </c>
    </row>
    <row r="210" spans="3:16">
      <c r="C210" s="784">
        <f>IF(D181="","-",+C209+1)</f>
        <v>2036</v>
      </c>
      <c r="D210" s="732">
        <f t="shared" si="12"/>
        <v>6458177.7065384649</v>
      </c>
      <c r="E210" s="785">
        <f t="shared" si="14"/>
        <v>391404.70948717947</v>
      </c>
      <c r="F210" s="785">
        <f t="shared" si="8"/>
        <v>6066772.9970512856</v>
      </c>
      <c r="G210" s="732">
        <f t="shared" si="13"/>
        <v>6262475.3517948752</v>
      </c>
      <c r="H210" s="790">
        <f>+J182*G210+E210</f>
        <v>1115660.9837976284</v>
      </c>
      <c r="I210" s="791">
        <f>+J183*G210+E210</f>
        <v>1115660.9837976284</v>
      </c>
      <c r="J210" s="788">
        <f t="shared" si="15"/>
        <v>0</v>
      </c>
      <c r="K210" s="788"/>
      <c r="L210" s="1310"/>
      <c r="M210" s="788">
        <f t="shared" si="9"/>
        <v>0</v>
      </c>
      <c r="N210" s="1310"/>
      <c r="O210" s="788">
        <f t="shared" si="10"/>
        <v>0</v>
      </c>
      <c r="P210" s="788">
        <f t="shared" si="11"/>
        <v>0</v>
      </c>
    </row>
    <row r="211" spans="3:16">
      <c r="C211" s="784">
        <f>IF(D181="","-",+C210+1)</f>
        <v>2037</v>
      </c>
      <c r="D211" s="732">
        <f t="shared" si="12"/>
        <v>6066772.9970512856</v>
      </c>
      <c r="E211" s="785">
        <f t="shared" si="14"/>
        <v>391404.70948717947</v>
      </c>
      <c r="F211" s="785">
        <f t="shared" si="8"/>
        <v>5675368.2875641063</v>
      </c>
      <c r="G211" s="732">
        <f t="shared" si="13"/>
        <v>5871070.6423076959</v>
      </c>
      <c r="H211" s="790">
        <f>+J182*G211+E211</f>
        <v>1070394.9666532255</v>
      </c>
      <c r="I211" s="791">
        <f>+J183*G211+E211</f>
        <v>1070394.9666532255</v>
      </c>
      <c r="J211" s="788">
        <f t="shared" si="15"/>
        <v>0</v>
      </c>
      <c r="K211" s="788"/>
      <c r="L211" s="1310"/>
      <c r="M211" s="788">
        <f t="shared" si="9"/>
        <v>0</v>
      </c>
      <c r="N211" s="1310"/>
      <c r="O211" s="788">
        <f t="shared" si="10"/>
        <v>0</v>
      </c>
      <c r="P211" s="788">
        <f t="shared" si="11"/>
        <v>0</v>
      </c>
    </row>
    <row r="212" spans="3:16">
      <c r="C212" s="784">
        <f>IF(D181="","-",+C211+1)</f>
        <v>2038</v>
      </c>
      <c r="D212" s="732">
        <f t="shared" si="12"/>
        <v>5675368.2875641063</v>
      </c>
      <c r="E212" s="785">
        <f t="shared" si="14"/>
        <v>391404.70948717947</v>
      </c>
      <c r="F212" s="785">
        <f t="shared" si="8"/>
        <v>5283963.578076927</v>
      </c>
      <c r="G212" s="732">
        <f t="shared" si="13"/>
        <v>5479665.9328205166</v>
      </c>
      <c r="H212" s="790">
        <f>+J182*G212+E212</f>
        <v>1025128.9495088225</v>
      </c>
      <c r="I212" s="791">
        <f>+J183*G212+E212</f>
        <v>1025128.9495088225</v>
      </c>
      <c r="J212" s="788">
        <f t="shared" si="15"/>
        <v>0</v>
      </c>
      <c r="K212" s="788"/>
      <c r="L212" s="1310"/>
      <c r="M212" s="788">
        <f t="shared" si="9"/>
        <v>0</v>
      </c>
      <c r="N212" s="1310"/>
      <c r="O212" s="788">
        <f t="shared" si="10"/>
        <v>0</v>
      </c>
      <c r="P212" s="788">
        <f t="shared" si="11"/>
        <v>0</v>
      </c>
    </row>
    <row r="213" spans="3:16">
      <c r="C213" s="784">
        <f>IF(D181="","-",+C212+1)</f>
        <v>2039</v>
      </c>
      <c r="D213" s="732">
        <f t="shared" si="12"/>
        <v>5283963.578076927</v>
      </c>
      <c r="E213" s="785">
        <f t="shared" si="14"/>
        <v>391404.70948717947</v>
      </c>
      <c r="F213" s="785">
        <f t="shared" si="8"/>
        <v>4892558.8685897477</v>
      </c>
      <c r="G213" s="732">
        <f t="shared" si="13"/>
        <v>5088261.2233333373</v>
      </c>
      <c r="H213" s="790">
        <f>+J182*G213+E213</f>
        <v>979862.93236441934</v>
      </c>
      <c r="I213" s="791">
        <f>+J183*G213+E213</f>
        <v>979862.93236441934</v>
      </c>
      <c r="J213" s="788">
        <f t="shared" si="15"/>
        <v>0</v>
      </c>
      <c r="K213" s="788"/>
      <c r="L213" s="1310"/>
      <c r="M213" s="788">
        <f t="shared" si="9"/>
        <v>0</v>
      </c>
      <c r="N213" s="1310"/>
      <c r="O213" s="788">
        <f t="shared" si="10"/>
        <v>0</v>
      </c>
      <c r="P213" s="788">
        <f t="shared" si="11"/>
        <v>0</v>
      </c>
    </row>
    <row r="214" spans="3:16">
      <c r="C214" s="784">
        <f>IF(D181="","-",+C213+1)</f>
        <v>2040</v>
      </c>
      <c r="D214" s="732">
        <f t="shared" si="12"/>
        <v>4892558.8685897477</v>
      </c>
      <c r="E214" s="785">
        <f t="shared" si="14"/>
        <v>391404.70948717947</v>
      </c>
      <c r="F214" s="785">
        <f t="shared" si="8"/>
        <v>4501154.1591025684</v>
      </c>
      <c r="G214" s="732">
        <f t="shared" si="13"/>
        <v>4696856.5138461581</v>
      </c>
      <c r="H214" s="790">
        <f>+J182*G214+E214</f>
        <v>934596.91522001638</v>
      </c>
      <c r="I214" s="791">
        <f>+J183*G214+E214</f>
        <v>934596.91522001638</v>
      </c>
      <c r="J214" s="788">
        <f t="shared" si="15"/>
        <v>0</v>
      </c>
      <c r="K214" s="788"/>
      <c r="L214" s="1310"/>
      <c r="M214" s="788">
        <f t="shared" si="9"/>
        <v>0</v>
      </c>
      <c r="N214" s="1310"/>
      <c r="O214" s="788">
        <f t="shared" si="10"/>
        <v>0</v>
      </c>
      <c r="P214" s="788">
        <f t="shared" si="11"/>
        <v>0</v>
      </c>
    </row>
    <row r="215" spans="3:16">
      <c r="C215" s="784">
        <f>IF(D181="","-",+C214+1)</f>
        <v>2041</v>
      </c>
      <c r="D215" s="732">
        <f t="shared" si="12"/>
        <v>4501154.1591025684</v>
      </c>
      <c r="E215" s="785">
        <f t="shared" si="14"/>
        <v>391404.70948717947</v>
      </c>
      <c r="F215" s="785">
        <f t="shared" si="8"/>
        <v>4109749.4496153891</v>
      </c>
      <c r="G215" s="732">
        <f t="shared" si="13"/>
        <v>4305451.8043589788</v>
      </c>
      <c r="H215" s="790">
        <f>+J182*G215+E215</f>
        <v>889330.89807561343</v>
      </c>
      <c r="I215" s="791">
        <f>+J183*G215+E215</f>
        <v>889330.89807561343</v>
      </c>
      <c r="J215" s="788">
        <f t="shared" si="15"/>
        <v>0</v>
      </c>
      <c r="K215" s="788"/>
      <c r="L215" s="1310"/>
      <c r="M215" s="788">
        <f t="shared" si="9"/>
        <v>0</v>
      </c>
      <c r="N215" s="1310"/>
      <c r="O215" s="788">
        <f t="shared" si="10"/>
        <v>0</v>
      </c>
      <c r="P215" s="788">
        <f t="shared" si="11"/>
        <v>0</v>
      </c>
    </row>
    <row r="216" spans="3:16">
      <c r="C216" s="784">
        <f>IF(D181="","-",+C215+1)</f>
        <v>2042</v>
      </c>
      <c r="D216" s="732">
        <f t="shared" si="12"/>
        <v>4109749.4496153891</v>
      </c>
      <c r="E216" s="785">
        <f t="shared" si="14"/>
        <v>391404.70948717947</v>
      </c>
      <c r="F216" s="785">
        <f t="shared" si="8"/>
        <v>3718344.7401282098</v>
      </c>
      <c r="G216" s="732">
        <f t="shared" si="13"/>
        <v>3914047.0948717995</v>
      </c>
      <c r="H216" s="790">
        <f>+J182*G216+E216</f>
        <v>844064.88093121035</v>
      </c>
      <c r="I216" s="791">
        <f>+J183*G216+E216</f>
        <v>844064.88093121035</v>
      </c>
      <c r="J216" s="788">
        <f t="shared" si="15"/>
        <v>0</v>
      </c>
      <c r="K216" s="788"/>
      <c r="L216" s="1310"/>
      <c r="M216" s="788">
        <f t="shared" si="9"/>
        <v>0</v>
      </c>
      <c r="N216" s="1310"/>
      <c r="O216" s="788">
        <f t="shared" si="10"/>
        <v>0</v>
      </c>
      <c r="P216" s="788">
        <f t="shared" si="11"/>
        <v>0</v>
      </c>
    </row>
    <row r="217" spans="3:16">
      <c r="C217" s="784">
        <f>IF(D181="","-",+C216+1)</f>
        <v>2043</v>
      </c>
      <c r="D217" s="732">
        <f t="shared" si="12"/>
        <v>3718344.7401282098</v>
      </c>
      <c r="E217" s="785">
        <f t="shared" si="14"/>
        <v>391404.70948717947</v>
      </c>
      <c r="F217" s="785">
        <f t="shared" si="8"/>
        <v>3326940.0306410305</v>
      </c>
      <c r="G217" s="732">
        <f t="shared" si="13"/>
        <v>3522642.3853846202</v>
      </c>
      <c r="H217" s="790">
        <f>+J182*G217+E217</f>
        <v>798798.86378680728</v>
      </c>
      <c r="I217" s="791">
        <f>+J183*G217+E217</f>
        <v>798798.86378680728</v>
      </c>
      <c r="J217" s="788">
        <f t="shared" si="15"/>
        <v>0</v>
      </c>
      <c r="K217" s="788"/>
      <c r="L217" s="1310"/>
      <c r="M217" s="788">
        <f t="shared" si="9"/>
        <v>0</v>
      </c>
      <c r="N217" s="1310"/>
      <c r="O217" s="788">
        <f t="shared" si="10"/>
        <v>0</v>
      </c>
      <c r="P217" s="788">
        <f t="shared" si="11"/>
        <v>0</v>
      </c>
    </row>
    <row r="218" spans="3:16">
      <c r="C218" s="784">
        <f>IF(D181="","-",+C217+1)</f>
        <v>2044</v>
      </c>
      <c r="D218" s="732">
        <f t="shared" si="12"/>
        <v>3326940.0306410305</v>
      </c>
      <c r="E218" s="785">
        <f t="shared" si="14"/>
        <v>391404.70948717947</v>
      </c>
      <c r="F218" s="785">
        <f t="shared" si="8"/>
        <v>2935535.3211538512</v>
      </c>
      <c r="G218" s="732">
        <f t="shared" si="13"/>
        <v>3131237.6758974409</v>
      </c>
      <c r="H218" s="790">
        <f>+J182*G218+E218</f>
        <v>753532.84664240433</v>
      </c>
      <c r="I218" s="791">
        <f>+J183*G218+E218</f>
        <v>753532.84664240433</v>
      </c>
      <c r="J218" s="788">
        <f t="shared" si="15"/>
        <v>0</v>
      </c>
      <c r="K218" s="788"/>
      <c r="L218" s="1310"/>
      <c r="M218" s="788">
        <f t="shared" si="9"/>
        <v>0</v>
      </c>
      <c r="N218" s="1310"/>
      <c r="O218" s="788">
        <f t="shared" si="10"/>
        <v>0</v>
      </c>
      <c r="P218" s="788">
        <f t="shared" si="11"/>
        <v>0</v>
      </c>
    </row>
    <row r="219" spans="3:16">
      <c r="C219" s="784">
        <f>IF(D181="","-",+C218+1)</f>
        <v>2045</v>
      </c>
      <c r="D219" s="732">
        <f t="shared" si="12"/>
        <v>2935535.3211538512</v>
      </c>
      <c r="E219" s="785">
        <f t="shared" si="14"/>
        <v>391404.70948717947</v>
      </c>
      <c r="F219" s="785">
        <f t="shared" si="8"/>
        <v>2544130.6116666719</v>
      </c>
      <c r="G219" s="732">
        <f t="shared" si="13"/>
        <v>2739832.9664102616</v>
      </c>
      <c r="H219" s="790">
        <f>+J182*G219+E219</f>
        <v>708266.82949800137</v>
      </c>
      <c r="I219" s="791">
        <f>+J183*G219+E219</f>
        <v>708266.82949800137</v>
      </c>
      <c r="J219" s="788">
        <f t="shared" si="15"/>
        <v>0</v>
      </c>
      <c r="K219" s="788"/>
      <c r="L219" s="1310"/>
      <c r="M219" s="788">
        <f t="shared" si="9"/>
        <v>0</v>
      </c>
      <c r="N219" s="1310"/>
      <c r="O219" s="788">
        <f t="shared" si="10"/>
        <v>0</v>
      </c>
      <c r="P219" s="788">
        <f t="shared" si="11"/>
        <v>0</v>
      </c>
    </row>
    <row r="220" spans="3:16">
      <c r="C220" s="784">
        <f>IF(D181="","-",+C219+1)</f>
        <v>2046</v>
      </c>
      <c r="D220" s="732">
        <f t="shared" si="12"/>
        <v>2544130.6116666719</v>
      </c>
      <c r="E220" s="785">
        <f t="shared" si="14"/>
        <v>391404.70948717947</v>
      </c>
      <c r="F220" s="785">
        <f t="shared" si="8"/>
        <v>2152725.9021794926</v>
      </c>
      <c r="G220" s="732">
        <f t="shared" si="13"/>
        <v>2348428.2569230823</v>
      </c>
      <c r="H220" s="790">
        <f>+J182*G220+E220</f>
        <v>663000.8123535983</v>
      </c>
      <c r="I220" s="791">
        <f>+J183*G220+E220</f>
        <v>663000.8123535983</v>
      </c>
      <c r="J220" s="788">
        <f t="shared" si="15"/>
        <v>0</v>
      </c>
      <c r="K220" s="788"/>
      <c r="L220" s="1310"/>
      <c r="M220" s="788">
        <f t="shared" si="9"/>
        <v>0</v>
      </c>
      <c r="N220" s="1310"/>
      <c r="O220" s="788">
        <f t="shared" si="10"/>
        <v>0</v>
      </c>
      <c r="P220" s="788">
        <f t="shared" si="11"/>
        <v>0</v>
      </c>
    </row>
    <row r="221" spans="3:16">
      <c r="C221" s="784">
        <f>IF(D181="","-",+C220+1)</f>
        <v>2047</v>
      </c>
      <c r="D221" s="732">
        <f t="shared" si="12"/>
        <v>2152725.9021794926</v>
      </c>
      <c r="E221" s="785">
        <f t="shared" si="14"/>
        <v>391404.70948717947</v>
      </c>
      <c r="F221" s="785">
        <f t="shared" si="8"/>
        <v>1761321.1926923131</v>
      </c>
      <c r="G221" s="732">
        <f t="shared" si="13"/>
        <v>1957023.547435903</v>
      </c>
      <c r="H221" s="790">
        <f>+J182*G221+E221</f>
        <v>617734.79520919523</v>
      </c>
      <c r="I221" s="791">
        <f>+J183*G221+E221</f>
        <v>617734.79520919523</v>
      </c>
      <c r="J221" s="788">
        <f t="shared" si="15"/>
        <v>0</v>
      </c>
      <c r="K221" s="788"/>
      <c r="L221" s="1310"/>
      <c r="M221" s="788">
        <f t="shared" si="9"/>
        <v>0</v>
      </c>
      <c r="N221" s="1310"/>
      <c r="O221" s="788">
        <f t="shared" si="10"/>
        <v>0</v>
      </c>
      <c r="P221" s="788">
        <f t="shared" si="11"/>
        <v>0</v>
      </c>
    </row>
    <row r="222" spans="3:16">
      <c r="C222" s="784">
        <f>IF(D181="","-",+C221+1)</f>
        <v>2048</v>
      </c>
      <c r="D222" s="732">
        <f t="shared" si="12"/>
        <v>1761321.1926923131</v>
      </c>
      <c r="E222" s="785">
        <f t="shared" si="14"/>
        <v>391404.70948717947</v>
      </c>
      <c r="F222" s="785">
        <f t="shared" si="8"/>
        <v>1369916.4832051336</v>
      </c>
      <c r="G222" s="732">
        <f t="shared" si="13"/>
        <v>1565618.8379487232</v>
      </c>
      <c r="H222" s="790">
        <f>+J182*G222+E222</f>
        <v>572468.77806479228</v>
      </c>
      <c r="I222" s="791">
        <f>+J183*G222+E222</f>
        <v>572468.77806479228</v>
      </c>
      <c r="J222" s="788">
        <f t="shared" si="15"/>
        <v>0</v>
      </c>
      <c r="K222" s="788"/>
      <c r="L222" s="1310"/>
      <c r="M222" s="788">
        <f t="shared" si="9"/>
        <v>0</v>
      </c>
      <c r="N222" s="1310"/>
      <c r="O222" s="788">
        <f t="shared" si="10"/>
        <v>0</v>
      </c>
      <c r="P222" s="788">
        <f t="shared" si="11"/>
        <v>0</v>
      </c>
    </row>
    <row r="223" spans="3:16">
      <c r="C223" s="784">
        <f>IF(D181="","-",+C222+1)</f>
        <v>2049</v>
      </c>
      <c r="D223" s="732">
        <f t="shared" si="12"/>
        <v>1369916.4832051336</v>
      </c>
      <c r="E223" s="785">
        <f t="shared" si="14"/>
        <v>391404.70948717947</v>
      </c>
      <c r="F223" s="785">
        <f t="shared" si="8"/>
        <v>978511.77371795406</v>
      </c>
      <c r="G223" s="732">
        <f t="shared" si="13"/>
        <v>1174214.1284615439</v>
      </c>
      <c r="H223" s="790">
        <f>+J182*G223+E223</f>
        <v>527202.76092038921</v>
      </c>
      <c r="I223" s="791">
        <f>+J183*G223+E223</f>
        <v>527202.76092038921</v>
      </c>
      <c r="J223" s="788">
        <f t="shared" si="15"/>
        <v>0</v>
      </c>
      <c r="K223" s="788"/>
      <c r="L223" s="1310"/>
      <c r="M223" s="788">
        <f t="shared" si="9"/>
        <v>0</v>
      </c>
      <c r="N223" s="1310"/>
      <c r="O223" s="788">
        <f t="shared" si="10"/>
        <v>0</v>
      </c>
      <c r="P223" s="788">
        <f t="shared" si="11"/>
        <v>0</v>
      </c>
    </row>
    <row r="224" spans="3:16">
      <c r="C224" s="784">
        <f>IF(D181="","-",+C223+1)</f>
        <v>2050</v>
      </c>
      <c r="D224" s="732">
        <f t="shared" si="12"/>
        <v>978511.77371795406</v>
      </c>
      <c r="E224" s="785">
        <f t="shared" si="14"/>
        <v>391404.70948717947</v>
      </c>
      <c r="F224" s="785">
        <f t="shared" si="8"/>
        <v>587107.06423077453</v>
      </c>
      <c r="G224" s="732">
        <f t="shared" si="13"/>
        <v>782809.41897436429</v>
      </c>
      <c r="H224" s="790">
        <f>+J182*G224+E224</f>
        <v>481936.74377598614</v>
      </c>
      <c r="I224" s="791">
        <f>+J183*G224+E224</f>
        <v>481936.74377598614</v>
      </c>
      <c r="J224" s="788">
        <f t="shared" si="15"/>
        <v>0</v>
      </c>
      <c r="K224" s="788"/>
      <c r="L224" s="1310"/>
      <c r="M224" s="788">
        <f t="shared" si="9"/>
        <v>0</v>
      </c>
      <c r="N224" s="1310"/>
      <c r="O224" s="788">
        <f t="shared" si="10"/>
        <v>0</v>
      </c>
      <c r="P224" s="788">
        <f t="shared" si="11"/>
        <v>0</v>
      </c>
    </row>
    <row r="225" spans="3:16">
      <c r="C225" s="784">
        <f>IF(D181="","-",+C224+1)</f>
        <v>2051</v>
      </c>
      <c r="D225" s="732">
        <f t="shared" si="12"/>
        <v>587107.06423077453</v>
      </c>
      <c r="E225" s="785">
        <f t="shared" si="14"/>
        <v>391404.70948717947</v>
      </c>
      <c r="F225" s="785">
        <f t="shared" si="8"/>
        <v>195702.35474359506</v>
      </c>
      <c r="G225" s="732">
        <f t="shared" si="13"/>
        <v>391404.70948718477</v>
      </c>
      <c r="H225" s="790">
        <f>+J182*G225+E225</f>
        <v>436670.72663158312</v>
      </c>
      <c r="I225" s="791">
        <f>+J183*G225+E225</f>
        <v>436670.72663158312</v>
      </c>
      <c r="J225" s="788">
        <f t="shared" si="15"/>
        <v>0</v>
      </c>
      <c r="K225" s="788"/>
      <c r="L225" s="1310"/>
      <c r="M225" s="788">
        <f t="shared" si="9"/>
        <v>0</v>
      </c>
      <c r="N225" s="1310"/>
      <c r="O225" s="788">
        <f t="shared" si="10"/>
        <v>0</v>
      </c>
      <c r="P225" s="788">
        <f t="shared" si="11"/>
        <v>0</v>
      </c>
    </row>
    <row r="226" spans="3:16">
      <c r="C226" s="784">
        <f>IF(D181="","-",+C225+1)</f>
        <v>2052</v>
      </c>
      <c r="D226" s="732">
        <f t="shared" si="12"/>
        <v>195702.35474359506</v>
      </c>
      <c r="E226" s="785">
        <f t="shared" si="14"/>
        <v>195702.35474359506</v>
      </c>
      <c r="F226" s="785">
        <f t="shared" si="8"/>
        <v>0</v>
      </c>
      <c r="G226" s="732">
        <f t="shared" si="13"/>
        <v>97851.17737179753</v>
      </c>
      <c r="H226" s="790">
        <f>+J182*G226+E226</f>
        <v>207018.85902969612</v>
      </c>
      <c r="I226" s="791">
        <f>+J183*G226+E226</f>
        <v>207018.85902969612</v>
      </c>
      <c r="J226" s="788">
        <f t="shared" si="15"/>
        <v>0</v>
      </c>
      <c r="K226" s="788"/>
      <c r="L226" s="1310"/>
      <c r="M226" s="788">
        <f t="shared" si="9"/>
        <v>0</v>
      </c>
      <c r="N226" s="1310"/>
      <c r="O226" s="788">
        <f t="shared" si="10"/>
        <v>0</v>
      </c>
      <c r="P226" s="788">
        <f t="shared" si="11"/>
        <v>0</v>
      </c>
    </row>
    <row r="227" spans="3:16">
      <c r="C227" s="784">
        <f>IF(D181="","-",+C226+1)</f>
        <v>2053</v>
      </c>
      <c r="D227" s="732">
        <f t="shared" si="12"/>
        <v>0</v>
      </c>
      <c r="E227" s="785">
        <f t="shared" si="14"/>
        <v>0</v>
      </c>
      <c r="F227" s="785">
        <f t="shared" si="8"/>
        <v>0</v>
      </c>
      <c r="G227" s="732">
        <f t="shared" si="13"/>
        <v>0</v>
      </c>
      <c r="H227" s="790">
        <f>+J182*G227+E227</f>
        <v>0</v>
      </c>
      <c r="I227" s="791">
        <f>+J183*G227+E227</f>
        <v>0</v>
      </c>
      <c r="J227" s="788">
        <f t="shared" si="15"/>
        <v>0</v>
      </c>
      <c r="K227" s="788"/>
      <c r="L227" s="1310"/>
      <c r="M227" s="788">
        <f t="shared" si="9"/>
        <v>0</v>
      </c>
      <c r="N227" s="1310"/>
      <c r="O227" s="788">
        <f t="shared" si="10"/>
        <v>0</v>
      </c>
      <c r="P227" s="788">
        <f t="shared" si="11"/>
        <v>0</v>
      </c>
    </row>
    <row r="228" spans="3:16">
      <c r="C228" s="784">
        <f>IF(D181="","-",+C227+1)</f>
        <v>2054</v>
      </c>
      <c r="D228" s="732">
        <f t="shared" si="12"/>
        <v>0</v>
      </c>
      <c r="E228" s="785">
        <f t="shared" si="14"/>
        <v>0</v>
      </c>
      <c r="F228" s="785">
        <f t="shared" si="8"/>
        <v>0</v>
      </c>
      <c r="G228" s="732">
        <f t="shared" si="13"/>
        <v>0</v>
      </c>
      <c r="H228" s="790">
        <f>+J182*G228+E228</f>
        <v>0</v>
      </c>
      <c r="I228" s="791">
        <f>+J183*G228+E228</f>
        <v>0</v>
      </c>
      <c r="J228" s="788">
        <f t="shared" si="15"/>
        <v>0</v>
      </c>
      <c r="K228" s="788"/>
      <c r="L228" s="1310"/>
      <c r="M228" s="788">
        <f t="shared" si="9"/>
        <v>0</v>
      </c>
      <c r="N228" s="1310"/>
      <c r="O228" s="788">
        <f t="shared" si="10"/>
        <v>0</v>
      </c>
      <c r="P228" s="788">
        <f t="shared" si="11"/>
        <v>0</v>
      </c>
    </row>
    <row r="229" spans="3:16">
      <c r="C229" s="784">
        <f>IF(D181="","-",+C228+1)</f>
        <v>2055</v>
      </c>
      <c r="D229" s="732">
        <f t="shared" si="12"/>
        <v>0</v>
      </c>
      <c r="E229" s="785">
        <f t="shared" si="14"/>
        <v>0</v>
      </c>
      <c r="F229" s="785">
        <f t="shared" si="8"/>
        <v>0</v>
      </c>
      <c r="G229" s="732">
        <f t="shared" si="13"/>
        <v>0</v>
      </c>
      <c r="H229" s="790">
        <f>+J182*G229+E229</f>
        <v>0</v>
      </c>
      <c r="I229" s="791">
        <f>+J183*G229+E229</f>
        <v>0</v>
      </c>
      <c r="J229" s="788">
        <f t="shared" si="15"/>
        <v>0</v>
      </c>
      <c r="K229" s="788"/>
      <c r="L229" s="1310"/>
      <c r="M229" s="788">
        <f t="shared" si="9"/>
        <v>0</v>
      </c>
      <c r="N229" s="1310"/>
      <c r="O229" s="788">
        <f t="shared" si="10"/>
        <v>0</v>
      </c>
      <c r="P229" s="788">
        <f t="shared" si="11"/>
        <v>0</v>
      </c>
    </row>
    <row r="230" spans="3:16">
      <c r="C230" s="784">
        <f>IF(D181="","-",+C229+1)</f>
        <v>2056</v>
      </c>
      <c r="D230" s="732">
        <f t="shared" si="12"/>
        <v>0</v>
      </c>
      <c r="E230" s="785">
        <f t="shared" si="14"/>
        <v>0</v>
      </c>
      <c r="F230" s="785">
        <f t="shared" si="8"/>
        <v>0</v>
      </c>
      <c r="G230" s="732">
        <f t="shared" si="13"/>
        <v>0</v>
      </c>
      <c r="H230" s="790">
        <f>+J182*G230+E230</f>
        <v>0</v>
      </c>
      <c r="I230" s="791">
        <f>+J183*G230+E230</f>
        <v>0</v>
      </c>
      <c r="J230" s="788">
        <f t="shared" si="15"/>
        <v>0</v>
      </c>
      <c r="K230" s="788"/>
      <c r="L230" s="1310"/>
      <c r="M230" s="788">
        <f t="shared" si="9"/>
        <v>0</v>
      </c>
      <c r="N230" s="1310"/>
      <c r="O230" s="788">
        <f t="shared" si="10"/>
        <v>0</v>
      </c>
      <c r="P230" s="788">
        <f t="shared" si="11"/>
        <v>0</v>
      </c>
    </row>
    <row r="231" spans="3:16">
      <c r="C231" s="784">
        <f>IF(D181="","-",+C230+1)</f>
        <v>2057</v>
      </c>
      <c r="D231" s="732">
        <f t="shared" si="12"/>
        <v>0</v>
      </c>
      <c r="E231" s="785">
        <f t="shared" si="14"/>
        <v>0</v>
      </c>
      <c r="F231" s="785">
        <f t="shared" si="8"/>
        <v>0</v>
      </c>
      <c r="G231" s="732">
        <f t="shared" si="13"/>
        <v>0</v>
      </c>
      <c r="H231" s="790">
        <f>+J182*G231+E231</f>
        <v>0</v>
      </c>
      <c r="I231" s="791">
        <f>+J183*G231+E231</f>
        <v>0</v>
      </c>
      <c r="J231" s="788">
        <f t="shared" si="15"/>
        <v>0</v>
      </c>
      <c r="K231" s="788"/>
      <c r="L231" s="1310"/>
      <c r="M231" s="788">
        <f t="shared" si="9"/>
        <v>0</v>
      </c>
      <c r="N231" s="1310"/>
      <c r="O231" s="788">
        <f t="shared" si="10"/>
        <v>0</v>
      </c>
      <c r="P231" s="788">
        <f t="shared" si="11"/>
        <v>0</v>
      </c>
    </row>
    <row r="232" spans="3:16">
      <c r="C232" s="784">
        <f>IF(D181="","-",+C231+1)</f>
        <v>2058</v>
      </c>
      <c r="D232" s="732">
        <f t="shared" si="12"/>
        <v>0</v>
      </c>
      <c r="E232" s="785">
        <f t="shared" si="14"/>
        <v>0</v>
      </c>
      <c r="F232" s="785">
        <f t="shared" si="8"/>
        <v>0</v>
      </c>
      <c r="G232" s="732">
        <f t="shared" si="13"/>
        <v>0</v>
      </c>
      <c r="H232" s="790">
        <f>+J182*G232+E232</f>
        <v>0</v>
      </c>
      <c r="I232" s="791">
        <f>+J183*G232+E232</f>
        <v>0</v>
      </c>
      <c r="J232" s="788">
        <f t="shared" si="15"/>
        <v>0</v>
      </c>
      <c r="K232" s="788"/>
      <c r="L232" s="1310"/>
      <c r="M232" s="788">
        <f t="shared" si="9"/>
        <v>0</v>
      </c>
      <c r="N232" s="1310"/>
      <c r="O232" s="788">
        <f t="shared" si="10"/>
        <v>0</v>
      </c>
      <c r="P232" s="788">
        <f t="shared" si="11"/>
        <v>0</v>
      </c>
    </row>
    <row r="233" spans="3:16">
      <c r="C233" s="784">
        <f>IF(D181="","-",+C232+1)</f>
        <v>2059</v>
      </c>
      <c r="D233" s="732">
        <f t="shared" si="12"/>
        <v>0</v>
      </c>
      <c r="E233" s="785">
        <f t="shared" si="14"/>
        <v>0</v>
      </c>
      <c r="F233" s="785">
        <f t="shared" si="8"/>
        <v>0</v>
      </c>
      <c r="G233" s="732">
        <f t="shared" si="13"/>
        <v>0</v>
      </c>
      <c r="H233" s="790">
        <f>+J182*G233+E233</f>
        <v>0</v>
      </c>
      <c r="I233" s="791">
        <f>+J183*G233+E233</f>
        <v>0</v>
      </c>
      <c r="J233" s="788">
        <f t="shared" si="15"/>
        <v>0</v>
      </c>
      <c r="K233" s="788"/>
      <c r="L233" s="1310"/>
      <c r="M233" s="788">
        <f t="shared" si="9"/>
        <v>0</v>
      </c>
      <c r="N233" s="1310"/>
      <c r="O233" s="788">
        <f t="shared" si="10"/>
        <v>0</v>
      </c>
      <c r="P233" s="788">
        <f t="shared" si="11"/>
        <v>0</v>
      </c>
    </row>
    <row r="234" spans="3:16">
      <c r="C234" s="784">
        <f>IF(D181="","-",+C233+1)</f>
        <v>2060</v>
      </c>
      <c r="D234" s="732">
        <f t="shared" si="12"/>
        <v>0</v>
      </c>
      <c r="E234" s="785">
        <f t="shared" si="14"/>
        <v>0</v>
      </c>
      <c r="F234" s="785">
        <f t="shared" si="8"/>
        <v>0</v>
      </c>
      <c r="G234" s="732">
        <f t="shared" si="13"/>
        <v>0</v>
      </c>
      <c r="H234" s="790">
        <f>+J182*G234+E234</f>
        <v>0</v>
      </c>
      <c r="I234" s="791">
        <f>+J183*G234+E234</f>
        <v>0</v>
      </c>
      <c r="J234" s="788">
        <f t="shared" si="15"/>
        <v>0</v>
      </c>
      <c r="K234" s="788"/>
      <c r="L234" s="1310"/>
      <c r="M234" s="788">
        <f t="shared" si="9"/>
        <v>0</v>
      </c>
      <c r="N234" s="1310"/>
      <c r="O234" s="788">
        <f t="shared" si="10"/>
        <v>0</v>
      </c>
      <c r="P234" s="788">
        <f t="shared" si="11"/>
        <v>0</v>
      </c>
    </row>
    <row r="235" spans="3:16">
      <c r="C235" s="784">
        <f>IF(D181="","-",+C234+1)</f>
        <v>2061</v>
      </c>
      <c r="D235" s="732">
        <f t="shared" si="12"/>
        <v>0</v>
      </c>
      <c r="E235" s="785">
        <f t="shared" si="14"/>
        <v>0</v>
      </c>
      <c r="F235" s="785">
        <f t="shared" si="8"/>
        <v>0</v>
      </c>
      <c r="G235" s="732">
        <f t="shared" si="13"/>
        <v>0</v>
      </c>
      <c r="H235" s="790">
        <f>+J182*G235+E235</f>
        <v>0</v>
      </c>
      <c r="I235" s="791">
        <f>+J183*G235+E235</f>
        <v>0</v>
      </c>
      <c r="J235" s="788">
        <f t="shared" si="15"/>
        <v>0</v>
      </c>
      <c r="K235" s="788"/>
      <c r="L235" s="1310"/>
      <c r="M235" s="788">
        <f t="shared" si="9"/>
        <v>0</v>
      </c>
      <c r="N235" s="1310"/>
      <c r="O235" s="788">
        <f t="shared" si="10"/>
        <v>0</v>
      </c>
      <c r="P235" s="788">
        <f t="shared" si="11"/>
        <v>0</v>
      </c>
    </row>
    <row r="236" spans="3:16">
      <c r="C236" s="784">
        <f>IF(D181="","-",+C235+1)</f>
        <v>2062</v>
      </c>
      <c r="D236" s="732">
        <f t="shared" si="12"/>
        <v>0</v>
      </c>
      <c r="E236" s="785">
        <f t="shared" si="14"/>
        <v>0</v>
      </c>
      <c r="F236" s="785">
        <f t="shared" si="8"/>
        <v>0</v>
      </c>
      <c r="G236" s="732">
        <f t="shared" si="13"/>
        <v>0</v>
      </c>
      <c r="H236" s="790">
        <f>+J182*G236+E236</f>
        <v>0</v>
      </c>
      <c r="I236" s="791">
        <f>+J183*G236+E236</f>
        <v>0</v>
      </c>
      <c r="J236" s="788">
        <f t="shared" si="15"/>
        <v>0</v>
      </c>
      <c r="K236" s="788"/>
      <c r="L236" s="1310"/>
      <c r="M236" s="788">
        <f t="shared" si="9"/>
        <v>0</v>
      </c>
      <c r="N236" s="1310"/>
      <c r="O236" s="788">
        <f t="shared" si="10"/>
        <v>0</v>
      </c>
      <c r="P236" s="788">
        <f t="shared" si="11"/>
        <v>0</v>
      </c>
    </row>
    <row r="237" spans="3:16">
      <c r="C237" s="784">
        <f>IF(D181="","-",+C236+1)</f>
        <v>2063</v>
      </c>
      <c r="D237" s="732">
        <f t="shared" si="12"/>
        <v>0</v>
      </c>
      <c r="E237" s="785">
        <f t="shared" si="14"/>
        <v>0</v>
      </c>
      <c r="F237" s="785">
        <f t="shared" si="8"/>
        <v>0</v>
      </c>
      <c r="G237" s="732">
        <f t="shared" si="13"/>
        <v>0</v>
      </c>
      <c r="H237" s="790">
        <f>+J182*G237+E237</f>
        <v>0</v>
      </c>
      <c r="I237" s="791">
        <f>+J183*G237+E237</f>
        <v>0</v>
      </c>
      <c r="J237" s="788">
        <f t="shared" si="15"/>
        <v>0</v>
      </c>
      <c r="K237" s="788"/>
      <c r="L237" s="1310"/>
      <c r="M237" s="788">
        <f t="shared" si="9"/>
        <v>0</v>
      </c>
      <c r="N237" s="1310"/>
      <c r="O237" s="788">
        <f t="shared" si="10"/>
        <v>0</v>
      </c>
      <c r="P237" s="788">
        <f t="shared" si="11"/>
        <v>0</v>
      </c>
    </row>
    <row r="238" spans="3:16">
      <c r="C238" s="784">
        <f>IF(D181="","-",+C237+1)</f>
        <v>2064</v>
      </c>
      <c r="D238" s="732">
        <f t="shared" si="12"/>
        <v>0</v>
      </c>
      <c r="E238" s="785">
        <f t="shared" si="14"/>
        <v>0</v>
      </c>
      <c r="F238" s="785">
        <f t="shared" si="8"/>
        <v>0</v>
      </c>
      <c r="G238" s="732">
        <f t="shared" si="13"/>
        <v>0</v>
      </c>
      <c r="H238" s="790">
        <f>+J182*G238+E238</f>
        <v>0</v>
      </c>
      <c r="I238" s="791">
        <f>+J183*G238+E238</f>
        <v>0</v>
      </c>
      <c r="J238" s="788">
        <f t="shared" si="15"/>
        <v>0</v>
      </c>
      <c r="K238" s="788"/>
      <c r="L238" s="1310"/>
      <c r="M238" s="788">
        <f t="shared" si="9"/>
        <v>0</v>
      </c>
      <c r="N238" s="1310"/>
      <c r="O238" s="788">
        <f t="shared" si="10"/>
        <v>0</v>
      </c>
      <c r="P238" s="788">
        <f t="shared" si="11"/>
        <v>0</v>
      </c>
    </row>
    <row r="239" spans="3:16">
      <c r="C239" s="784">
        <f>IF(D181="","-",+C238+1)</f>
        <v>2065</v>
      </c>
      <c r="D239" s="732">
        <f t="shared" si="12"/>
        <v>0</v>
      </c>
      <c r="E239" s="785">
        <f t="shared" si="14"/>
        <v>0</v>
      </c>
      <c r="F239" s="785">
        <f t="shared" si="8"/>
        <v>0</v>
      </c>
      <c r="G239" s="732">
        <f t="shared" si="13"/>
        <v>0</v>
      </c>
      <c r="H239" s="790">
        <f>+J182*G239+E239</f>
        <v>0</v>
      </c>
      <c r="I239" s="791">
        <f>+J183*G239+E239</f>
        <v>0</v>
      </c>
      <c r="J239" s="788">
        <f t="shared" si="15"/>
        <v>0</v>
      </c>
      <c r="K239" s="788"/>
      <c r="L239" s="1310"/>
      <c r="M239" s="788">
        <f t="shared" si="9"/>
        <v>0</v>
      </c>
      <c r="N239" s="1310"/>
      <c r="O239" s="788">
        <f t="shared" si="10"/>
        <v>0</v>
      </c>
      <c r="P239" s="788">
        <f t="shared" si="11"/>
        <v>0</v>
      </c>
    </row>
    <row r="240" spans="3:16">
      <c r="C240" s="784">
        <f>IF(D181="","-",+C239+1)</f>
        <v>2066</v>
      </c>
      <c r="D240" s="732">
        <f t="shared" si="12"/>
        <v>0</v>
      </c>
      <c r="E240" s="785">
        <f t="shared" si="14"/>
        <v>0</v>
      </c>
      <c r="F240" s="785">
        <f t="shared" si="8"/>
        <v>0</v>
      </c>
      <c r="G240" s="732">
        <f t="shared" si="13"/>
        <v>0</v>
      </c>
      <c r="H240" s="790">
        <f>+J182*G240+E240</f>
        <v>0</v>
      </c>
      <c r="I240" s="791">
        <f>+J183*G240+E240</f>
        <v>0</v>
      </c>
      <c r="J240" s="788">
        <f t="shared" si="15"/>
        <v>0</v>
      </c>
      <c r="K240" s="788"/>
      <c r="L240" s="1310"/>
      <c r="M240" s="788">
        <f t="shared" si="9"/>
        <v>0</v>
      </c>
      <c r="N240" s="1310"/>
      <c r="O240" s="788">
        <f t="shared" si="10"/>
        <v>0</v>
      </c>
      <c r="P240" s="788">
        <f t="shared" si="11"/>
        <v>0</v>
      </c>
    </row>
    <row r="241" spans="1:17">
      <c r="C241" s="784">
        <f>IF(D181="","-",+C240+1)</f>
        <v>2067</v>
      </c>
      <c r="D241" s="732">
        <f t="shared" ref="D241:D246" si="16">F240</f>
        <v>0</v>
      </c>
      <c r="E241" s="785">
        <f t="shared" si="14"/>
        <v>0</v>
      </c>
      <c r="F241" s="785">
        <f t="shared" si="8"/>
        <v>0</v>
      </c>
      <c r="G241" s="732">
        <f t="shared" si="13"/>
        <v>0</v>
      </c>
      <c r="H241" s="790">
        <f>+J182*G241+E241</f>
        <v>0</v>
      </c>
      <c r="I241" s="791">
        <f>+J183*G241+E241</f>
        <v>0</v>
      </c>
      <c r="J241" s="788">
        <f t="shared" si="15"/>
        <v>0</v>
      </c>
      <c r="K241" s="788"/>
      <c r="L241" s="1310"/>
      <c r="M241" s="788">
        <f t="shared" si="9"/>
        <v>0</v>
      </c>
      <c r="N241" s="1310"/>
      <c r="O241" s="788">
        <f t="shared" si="10"/>
        <v>0</v>
      </c>
      <c r="P241" s="788">
        <f t="shared" si="11"/>
        <v>0</v>
      </c>
    </row>
    <row r="242" spans="1:17">
      <c r="C242" s="784">
        <f>IF(D181="","-",+C241+1)</f>
        <v>2068</v>
      </c>
      <c r="D242" s="732">
        <f t="shared" si="16"/>
        <v>0</v>
      </c>
      <c r="E242" s="785">
        <f t="shared" si="14"/>
        <v>0</v>
      </c>
      <c r="F242" s="785">
        <f t="shared" si="8"/>
        <v>0</v>
      </c>
      <c r="G242" s="732">
        <f t="shared" si="13"/>
        <v>0</v>
      </c>
      <c r="H242" s="790">
        <f>+J182*G242+E242</f>
        <v>0</v>
      </c>
      <c r="I242" s="791">
        <f>+J183*G242+E242</f>
        <v>0</v>
      </c>
      <c r="J242" s="788">
        <f t="shared" si="15"/>
        <v>0</v>
      </c>
      <c r="K242" s="788"/>
      <c r="L242" s="1310"/>
      <c r="M242" s="788">
        <f t="shared" si="9"/>
        <v>0</v>
      </c>
      <c r="N242" s="1310"/>
      <c r="O242" s="788">
        <f t="shared" si="10"/>
        <v>0</v>
      </c>
      <c r="P242" s="788">
        <f t="shared" si="11"/>
        <v>0</v>
      </c>
    </row>
    <row r="243" spans="1:17">
      <c r="C243" s="784">
        <f>IF(D181="","-",+C242+1)</f>
        <v>2069</v>
      </c>
      <c r="D243" s="732">
        <f t="shared" si="16"/>
        <v>0</v>
      </c>
      <c r="E243" s="785">
        <f t="shared" si="14"/>
        <v>0</v>
      </c>
      <c r="F243" s="785">
        <f t="shared" si="8"/>
        <v>0</v>
      </c>
      <c r="G243" s="732">
        <f t="shared" si="13"/>
        <v>0</v>
      </c>
      <c r="H243" s="790">
        <f>+J182*G243+E243</f>
        <v>0</v>
      </c>
      <c r="I243" s="791">
        <f>+J183*G243+E243</f>
        <v>0</v>
      </c>
      <c r="J243" s="788">
        <f t="shared" si="15"/>
        <v>0</v>
      </c>
      <c r="K243" s="788"/>
      <c r="L243" s="1310"/>
      <c r="M243" s="788">
        <f t="shared" si="9"/>
        <v>0</v>
      </c>
      <c r="N243" s="1310"/>
      <c r="O243" s="788">
        <f t="shared" si="10"/>
        <v>0</v>
      </c>
      <c r="P243" s="788">
        <f t="shared" si="11"/>
        <v>0</v>
      </c>
    </row>
    <row r="244" spans="1:17">
      <c r="C244" s="784">
        <f>IF(D181="","-",+C243+1)</f>
        <v>2070</v>
      </c>
      <c r="D244" s="732">
        <f t="shared" si="16"/>
        <v>0</v>
      </c>
      <c r="E244" s="785">
        <f t="shared" si="14"/>
        <v>0</v>
      </c>
      <c r="F244" s="785">
        <f t="shared" si="8"/>
        <v>0</v>
      </c>
      <c r="G244" s="732">
        <f t="shared" si="13"/>
        <v>0</v>
      </c>
      <c r="H244" s="790">
        <f>+J182*G244+E244</f>
        <v>0</v>
      </c>
      <c r="I244" s="791">
        <f>+J183*G244+E244</f>
        <v>0</v>
      </c>
      <c r="J244" s="788">
        <f t="shared" si="15"/>
        <v>0</v>
      </c>
      <c r="K244" s="788"/>
      <c r="L244" s="1310"/>
      <c r="M244" s="788">
        <f t="shared" si="9"/>
        <v>0</v>
      </c>
      <c r="N244" s="1310"/>
      <c r="O244" s="788">
        <f t="shared" si="10"/>
        <v>0</v>
      </c>
      <c r="P244" s="788">
        <f t="shared" si="11"/>
        <v>0</v>
      </c>
    </row>
    <row r="245" spans="1:17">
      <c r="C245" s="784">
        <f>IF(D181="","-",+C244+1)</f>
        <v>2071</v>
      </c>
      <c r="D245" s="732">
        <f t="shared" si="16"/>
        <v>0</v>
      </c>
      <c r="E245" s="785">
        <f t="shared" si="14"/>
        <v>0</v>
      </c>
      <c r="F245" s="785">
        <f t="shared" si="8"/>
        <v>0</v>
      </c>
      <c r="G245" s="732">
        <f t="shared" si="13"/>
        <v>0</v>
      </c>
      <c r="H245" s="790">
        <f>+J182*G245+E245</f>
        <v>0</v>
      </c>
      <c r="I245" s="791">
        <f>+J183*G245+E245</f>
        <v>0</v>
      </c>
      <c r="J245" s="788">
        <f t="shared" si="15"/>
        <v>0</v>
      </c>
      <c r="K245" s="788"/>
      <c r="L245" s="1310"/>
      <c r="M245" s="788">
        <f t="shared" si="9"/>
        <v>0</v>
      </c>
      <c r="N245" s="1310"/>
      <c r="O245" s="788">
        <f t="shared" si="10"/>
        <v>0</v>
      </c>
      <c r="P245" s="788">
        <f t="shared" si="11"/>
        <v>0</v>
      </c>
    </row>
    <row r="246" spans="1:17" ht="13.5" thickBot="1">
      <c r="C246" s="794">
        <f>IF(D181="","-",+C245+1)</f>
        <v>2072</v>
      </c>
      <c r="D246" s="795">
        <f t="shared" si="16"/>
        <v>0</v>
      </c>
      <c r="E246" s="796">
        <f t="shared" si="14"/>
        <v>0</v>
      </c>
      <c r="F246" s="796">
        <f t="shared" si="8"/>
        <v>0</v>
      </c>
      <c r="G246" s="795">
        <f t="shared" si="13"/>
        <v>0</v>
      </c>
      <c r="H246" s="797">
        <f>+J182*G246+E246</f>
        <v>0</v>
      </c>
      <c r="I246" s="797">
        <f>+J183*G246+E246</f>
        <v>0</v>
      </c>
      <c r="J246" s="798">
        <f t="shared" si="15"/>
        <v>0</v>
      </c>
      <c r="K246" s="788"/>
      <c r="L246" s="1311"/>
      <c r="M246" s="798">
        <f t="shared" si="9"/>
        <v>0</v>
      </c>
      <c r="N246" s="1311"/>
      <c r="O246" s="798">
        <f t="shared" si="10"/>
        <v>0</v>
      </c>
      <c r="P246" s="798">
        <f t="shared" si="11"/>
        <v>0</v>
      </c>
    </row>
    <row r="247" spans="1:17">
      <c r="C247" s="732" t="s">
        <v>93</v>
      </c>
      <c r="D247" s="726"/>
      <c r="E247" s="726">
        <f>SUM(E187:E246)</f>
        <v>15264783.669999998</v>
      </c>
      <c r="F247" s="726"/>
      <c r="G247" s="726"/>
      <c r="H247" s="726">
        <f>SUM(H187:H246)</f>
        <v>50572277.042634375</v>
      </c>
      <c r="I247" s="726">
        <f>SUM(I187:I246)</f>
        <v>50572277.042634375</v>
      </c>
      <c r="J247" s="726">
        <f>SUM(J187:J246)</f>
        <v>0</v>
      </c>
      <c r="K247" s="726"/>
      <c r="L247" s="726"/>
      <c r="M247" s="726"/>
      <c r="N247" s="726"/>
      <c r="O247" s="726"/>
    </row>
    <row r="248" spans="1:17">
      <c r="D248" s="534"/>
      <c r="E248" s="313"/>
      <c r="F248" s="313"/>
      <c r="G248" s="313"/>
      <c r="H248" s="313"/>
      <c r="I248" s="704"/>
      <c r="J248" s="704"/>
      <c r="K248" s="726"/>
      <c r="L248" s="704"/>
      <c r="M248" s="704"/>
      <c r="N248" s="704"/>
      <c r="O248" s="704"/>
    </row>
    <row r="249" spans="1:17">
      <c r="C249" s="313" t="s">
        <v>15</v>
      </c>
      <c r="D249" s="534"/>
      <c r="E249" s="313"/>
      <c r="F249" s="313"/>
      <c r="G249" s="313"/>
      <c r="H249" s="313"/>
      <c r="I249" s="704"/>
      <c r="J249" s="704"/>
      <c r="K249" s="726"/>
      <c r="L249" s="704"/>
      <c r="M249" s="704"/>
      <c r="N249" s="704"/>
      <c r="O249" s="704"/>
    </row>
    <row r="250" spans="1:17">
      <c r="C250" s="313"/>
      <c r="D250" s="534"/>
      <c r="E250" s="313"/>
      <c r="F250" s="313"/>
      <c r="G250" s="313"/>
      <c r="H250" s="313"/>
      <c r="I250" s="704"/>
      <c r="J250" s="704"/>
      <c r="K250" s="726"/>
      <c r="L250" s="704"/>
      <c r="M250" s="704"/>
      <c r="N250" s="704"/>
      <c r="O250" s="704"/>
    </row>
    <row r="251" spans="1:17">
      <c r="C251" s="745" t="s">
        <v>16</v>
      </c>
      <c r="D251" s="732"/>
      <c r="E251" s="732"/>
      <c r="F251" s="732"/>
      <c r="G251" s="732"/>
      <c r="H251" s="726"/>
      <c r="I251" s="726"/>
      <c r="J251" s="800"/>
      <c r="K251" s="800"/>
      <c r="L251" s="800"/>
      <c r="M251" s="800"/>
      <c r="N251" s="800"/>
      <c r="O251" s="800"/>
    </row>
    <row r="252" spans="1:17">
      <c r="C252" s="731" t="s">
        <v>273</v>
      </c>
      <c r="D252" s="732"/>
      <c r="E252" s="732"/>
      <c r="F252" s="732"/>
      <c r="G252" s="732"/>
      <c r="H252" s="726"/>
      <c r="I252" s="726"/>
      <c r="J252" s="800"/>
      <c r="K252" s="800"/>
      <c r="L252" s="800"/>
      <c r="M252" s="800"/>
      <c r="N252" s="800"/>
      <c r="O252" s="800"/>
    </row>
    <row r="253" spans="1:17">
      <c r="C253" s="731" t="s">
        <v>94</v>
      </c>
      <c r="D253" s="732"/>
      <c r="E253" s="732"/>
      <c r="F253" s="732"/>
      <c r="G253" s="732"/>
      <c r="H253" s="726"/>
      <c r="I253" s="726"/>
      <c r="J253" s="800"/>
      <c r="K253" s="800"/>
      <c r="L253" s="800"/>
      <c r="M253" s="800"/>
      <c r="N253" s="800"/>
      <c r="O253" s="800"/>
    </row>
    <row r="254" spans="1:17">
      <c r="C254" s="731"/>
      <c r="D254" s="732"/>
      <c r="E254" s="732"/>
      <c r="F254" s="732"/>
      <c r="G254" s="732"/>
      <c r="H254" s="726"/>
      <c r="I254" s="726"/>
      <c r="J254" s="800"/>
      <c r="K254" s="800"/>
      <c r="L254" s="800"/>
      <c r="M254" s="800"/>
      <c r="N254" s="800"/>
      <c r="O254" s="800"/>
    </row>
    <row r="255" spans="1:17" ht="20.25">
      <c r="A255" s="733" t="str">
        <f>""&amp;A179&amp;" Worksheet K -  ATRR TRUE-UP Calculation for PJM Projects Charged to Benefiting Zones"</f>
        <v xml:space="preserve"> Worksheet K -  ATRR TRUE-UP Calculation for PJM Projects Charged to Benefiting Zones</v>
      </c>
      <c r="B255" s="346"/>
      <c r="C255" s="721"/>
      <c r="D255" s="534"/>
      <c r="E255" s="313"/>
      <c r="F255" s="703"/>
      <c r="G255" s="703"/>
      <c r="H255" s="313"/>
      <c r="I255" s="704"/>
      <c r="L255" s="560"/>
      <c r="M255" s="560"/>
      <c r="N255" s="560"/>
      <c r="O255" s="649" t="str">
        <f>"Page "&amp;SUM(Q$8:Q255)&amp;" of "</f>
        <v xml:space="preserve">Page 3 of </v>
      </c>
      <c r="P255" s="650">
        <f>COUNT(Q$8:Q$56657)</f>
        <v>10</v>
      </c>
      <c r="Q255" s="173">
        <v>1</v>
      </c>
    </row>
    <row r="256" spans="1:17">
      <c r="B256" s="346"/>
      <c r="C256" s="313"/>
      <c r="D256" s="534"/>
      <c r="E256" s="313"/>
      <c r="F256" s="313"/>
      <c r="G256" s="313"/>
      <c r="H256" s="313"/>
      <c r="I256" s="704"/>
      <c r="J256" s="313"/>
      <c r="K256" s="423"/>
    </row>
    <row r="257" spans="1:16" ht="18">
      <c r="B257" s="653" t="s">
        <v>474</v>
      </c>
      <c r="C257" s="735" t="s">
        <v>95</v>
      </c>
      <c r="D257" s="534"/>
      <c r="E257" s="313"/>
      <c r="F257" s="313"/>
      <c r="G257" s="313"/>
      <c r="H257" s="313"/>
      <c r="I257" s="704"/>
      <c r="J257" s="704"/>
      <c r="K257" s="726"/>
      <c r="L257" s="704"/>
      <c r="M257" s="704"/>
      <c r="N257" s="704"/>
      <c r="O257" s="704"/>
    </row>
    <row r="258" spans="1:16" ht="18.75">
      <c r="B258" s="653"/>
      <c r="C258" s="652"/>
      <c r="D258" s="534"/>
      <c r="E258" s="313"/>
      <c r="F258" s="313"/>
      <c r="G258" s="313"/>
      <c r="H258" s="313"/>
      <c r="I258" s="704"/>
      <c r="J258" s="704"/>
      <c r="K258" s="726"/>
      <c r="L258" s="704"/>
      <c r="M258" s="704"/>
      <c r="N258" s="704"/>
      <c r="O258" s="704"/>
    </row>
    <row r="259" spans="1:16" ht="18.75">
      <c r="B259" s="653"/>
      <c r="C259" s="652" t="s">
        <v>96</v>
      </c>
      <c r="D259" s="534"/>
      <c r="E259" s="313"/>
      <c r="F259" s="313"/>
      <c r="G259" s="313"/>
      <c r="H259" s="313"/>
      <c r="I259" s="704"/>
      <c r="J259" s="704"/>
      <c r="K259" s="726"/>
      <c r="L259" s="704"/>
      <c r="M259" s="704"/>
      <c r="N259" s="704"/>
      <c r="O259" s="704"/>
    </row>
    <row r="260" spans="1:16" ht="15.75" thickBot="1">
      <c r="C260" s="240"/>
      <c r="D260" s="534"/>
      <c r="E260" s="313"/>
      <c r="F260" s="313"/>
      <c r="G260" s="313"/>
      <c r="H260" s="313"/>
      <c r="I260" s="704"/>
      <c r="J260" s="704"/>
      <c r="K260" s="726"/>
      <c r="L260" s="704"/>
      <c r="M260" s="704"/>
      <c r="N260" s="704"/>
      <c r="O260" s="704"/>
    </row>
    <row r="261" spans="1:16" ht="15.75">
      <c r="C261" s="655" t="s">
        <v>97</v>
      </c>
      <c r="D261" s="534"/>
      <c r="E261" s="313"/>
      <c r="F261" s="313"/>
      <c r="G261" s="313"/>
      <c r="H261" s="802"/>
      <c r="I261" s="313" t="s">
        <v>76</v>
      </c>
      <c r="J261" s="313"/>
      <c r="K261" s="423"/>
      <c r="L261" s="831">
        <f>+J267</f>
        <v>2021</v>
      </c>
      <c r="M261" s="812" t="s">
        <v>54</v>
      </c>
      <c r="N261" s="812" t="s">
        <v>55</v>
      </c>
      <c r="O261" s="813" t="s">
        <v>57</v>
      </c>
    </row>
    <row r="262" spans="1:16" ht="15.75">
      <c r="C262" s="655"/>
      <c r="D262" s="534"/>
      <c r="E262" s="313"/>
      <c r="F262" s="313"/>
      <c r="H262" s="313"/>
      <c r="I262" s="740"/>
      <c r="J262" s="740"/>
      <c r="K262" s="741"/>
      <c r="L262" s="832" t="s">
        <v>245</v>
      </c>
      <c r="M262" s="833">
        <f>VLOOKUP(J267,C274:P333,10)</f>
        <v>658579.34236016381</v>
      </c>
      <c r="N262" s="833">
        <f>VLOOKUP(J267,C274:P333,12)</f>
        <v>658579.34236016381</v>
      </c>
      <c r="O262" s="834">
        <f>+N262-M262</f>
        <v>0</v>
      </c>
    </row>
    <row r="263" spans="1:16" ht="12.95" customHeight="1">
      <c r="C263" s="745" t="s">
        <v>98</v>
      </c>
      <c r="D263" s="1557" t="s">
        <v>817</v>
      </c>
      <c r="E263" s="1557"/>
      <c r="F263" s="1557"/>
      <c r="G263" s="1557"/>
      <c r="H263" s="1557"/>
      <c r="I263" s="1557"/>
      <c r="J263" s="704"/>
      <c r="K263" s="726"/>
      <c r="L263" s="832" t="s">
        <v>246</v>
      </c>
      <c r="M263" s="835">
        <f>VLOOKUP(J267,C274:P333,6)</f>
        <v>691154.36431882647</v>
      </c>
      <c r="N263" s="835">
        <f>VLOOKUP(J267,C274:P333,7)</f>
        <v>691154.36431882647</v>
      </c>
      <c r="O263" s="836">
        <f>+N263-M263</f>
        <v>0</v>
      </c>
    </row>
    <row r="264" spans="1:16" ht="13.5" thickBot="1">
      <c r="C264" s="749"/>
      <c r="D264" s="1557"/>
      <c r="E264" s="1557"/>
      <c r="F264" s="1557"/>
      <c r="G264" s="1557"/>
      <c r="H264" s="1557"/>
      <c r="I264" s="1557"/>
      <c r="J264" s="704"/>
      <c r="K264" s="726"/>
      <c r="L264" s="768" t="s">
        <v>247</v>
      </c>
      <c r="M264" s="837">
        <f>+M263-M262</f>
        <v>32575.021958662663</v>
      </c>
      <c r="N264" s="837">
        <f>+N263-N262</f>
        <v>32575.021958662663</v>
      </c>
      <c r="O264" s="838">
        <f>+O263-O262</f>
        <v>0</v>
      </c>
    </row>
    <row r="265" spans="1:16" ht="13.5" thickBot="1">
      <c r="C265" s="752"/>
      <c r="D265" s="753"/>
      <c r="E265" s="751"/>
      <c r="F265" s="751"/>
      <c r="G265" s="751"/>
      <c r="H265" s="751"/>
      <c r="I265" s="751"/>
      <c r="J265" s="751"/>
      <c r="K265" s="754"/>
      <c r="L265" s="751"/>
      <c r="M265" s="751"/>
      <c r="N265" s="751"/>
      <c r="O265" s="751"/>
      <c r="P265" s="346"/>
    </row>
    <row r="266" spans="1:16" ht="13.5" thickBot="1">
      <c r="C266" s="755" t="s">
        <v>99</v>
      </c>
      <c r="D266" s="756"/>
      <c r="E266" s="756"/>
      <c r="F266" s="756"/>
      <c r="G266" s="756"/>
      <c r="H266" s="756"/>
      <c r="I266" s="756"/>
      <c r="J266" s="756"/>
      <c r="K266" s="758"/>
      <c r="P266" s="759"/>
    </row>
    <row r="267" spans="1:16" ht="15">
      <c r="A267" s="1340"/>
      <c r="C267" s="760" t="s">
        <v>77</v>
      </c>
      <c r="D267" s="804">
        <v>5805543</v>
      </c>
      <c r="E267" s="721" t="s">
        <v>78</v>
      </c>
      <c r="H267" s="761"/>
      <c r="I267" s="761"/>
      <c r="J267" s="762">
        <f>$J$93</f>
        <v>2021</v>
      </c>
      <c r="K267" s="550"/>
      <c r="L267" s="1558" t="s">
        <v>79</v>
      </c>
      <c r="M267" s="1558"/>
      <c r="N267" s="1558"/>
      <c r="O267" s="1558"/>
      <c r="P267" s="423"/>
    </row>
    <row r="268" spans="1:16">
      <c r="C268" s="760" t="s">
        <v>80</v>
      </c>
      <c r="D268" s="1307">
        <v>2013</v>
      </c>
      <c r="E268" s="760" t="s">
        <v>81</v>
      </c>
      <c r="F268" s="761"/>
      <c r="G268" s="761"/>
      <c r="I268" s="173"/>
      <c r="J268" s="806">
        <f>IF(H261="",0,$F$17)</f>
        <v>0</v>
      </c>
      <c r="K268" s="763"/>
      <c r="L268" s="726" t="s">
        <v>287</v>
      </c>
      <c r="P268" s="423"/>
    </row>
    <row r="269" spans="1:16">
      <c r="C269" s="760" t="s">
        <v>82</v>
      </c>
      <c r="D269" s="804">
        <v>12</v>
      </c>
      <c r="E269" s="760" t="s">
        <v>83</v>
      </c>
      <c r="F269" s="761"/>
      <c r="G269" s="761"/>
      <c r="I269" s="173"/>
      <c r="J269" s="764">
        <f>$F$70</f>
        <v>0.11565015966136639</v>
      </c>
      <c r="K269" s="765"/>
      <c r="L269" s="313" t="str">
        <f>"          INPUT TRUE-UP ARR (WITH &amp; WITHOUT INCENTIVES) FROM EACH PRIOR YEAR"</f>
        <v xml:space="preserve">          INPUT TRUE-UP ARR (WITH &amp; WITHOUT INCENTIVES) FROM EACH PRIOR YEAR</v>
      </c>
      <c r="P269" s="423"/>
    </row>
    <row r="270" spans="1:16">
      <c r="C270" s="760" t="s">
        <v>84</v>
      </c>
      <c r="D270" s="766">
        <f>H$79</f>
        <v>39</v>
      </c>
      <c r="E270" s="760" t="s">
        <v>85</v>
      </c>
      <c r="F270" s="761"/>
      <c r="G270" s="761"/>
      <c r="I270" s="173"/>
      <c r="J270" s="764">
        <f>IF(H261="",+J269,$F$69)</f>
        <v>0.11565015966136639</v>
      </c>
      <c r="K270" s="767"/>
      <c r="L270" s="313" t="s">
        <v>167</v>
      </c>
      <c r="M270" s="767"/>
      <c r="N270" s="767"/>
      <c r="O270" s="767"/>
      <c r="P270" s="423"/>
    </row>
    <row r="271" spans="1:16" ht="13.5" thickBot="1">
      <c r="C271" s="760" t="s">
        <v>86</v>
      </c>
      <c r="D271" s="1331" t="s">
        <v>814</v>
      </c>
      <c r="E271" s="768" t="s">
        <v>87</v>
      </c>
      <c r="F271" s="769"/>
      <c r="G271" s="769"/>
      <c r="H271" s="770"/>
      <c r="I271" s="770"/>
      <c r="J271" s="748">
        <f>IF(D267=0,0,D267/D270)</f>
        <v>148860.07692307694</v>
      </c>
      <c r="K271" s="726"/>
      <c r="L271" s="726" t="s">
        <v>168</v>
      </c>
      <c r="M271" s="726"/>
      <c r="N271" s="726"/>
      <c r="O271" s="726"/>
      <c r="P271" s="423"/>
    </row>
    <row r="272" spans="1:16" ht="38.25">
      <c r="B272" s="841"/>
      <c r="C272" s="771" t="s">
        <v>77</v>
      </c>
      <c r="D272" s="772" t="s">
        <v>88</v>
      </c>
      <c r="E272" s="773" t="s">
        <v>89</v>
      </c>
      <c r="F272" s="772" t="s">
        <v>90</v>
      </c>
      <c r="G272" s="772" t="s">
        <v>248</v>
      </c>
      <c r="H272" s="773" t="s">
        <v>161</v>
      </c>
      <c r="I272" s="774" t="s">
        <v>161</v>
      </c>
      <c r="J272" s="771" t="s">
        <v>100</v>
      </c>
      <c r="K272" s="775"/>
      <c r="L272" s="773" t="s">
        <v>163</v>
      </c>
      <c r="M272" s="773" t="s">
        <v>169</v>
      </c>
      <c r="N272" s="773" t="s">
        <v>163</v>
      </c>
      <c r="O272" s="773" t="s">
        <v>171</v>
      </c>
      <c r="P272" s="773" t="s">
        <v>91</v>
      </c>
    </row>
    <row r="273" spans="3:16" ht="13.5" thickBot="1">
      <c r="C273" s="777" t="s">
        <v>477</v>
      </c>
      <c r="D273" s="778" t="s">
        <v>478</v>
      </c>
      <c r="E273" s="777" t="s">
        <v>371</v>
      </c>
      <c r="F273" s="778" t="s">
        <v>478</v>
      </c>
      <c r="G273" s="778" t="s">
        <v>478</v>
      </c>
      <c r="H273" s="779" t="s">
        <v>103</v>
      </c>
      <c r="I273" s="780" t="s">
        <v>105</v>
      </c>
      <c r="J273" s="781" t="s">
        <v>17</v>
      </c>
      <c r="K273" s="782"/>
      <c r="L273" s="779" t="s">
        <v>92</v>
      </c>
      <c r="M273" s="779" t="s">
        <v>92</v>
      </c>
      <c r="N273" s="779" t="s">
        <v>265</v>
      </c>
      <c r="O273" s="779" t="s">
        <v>265</v>
      </c>
      <c r="P273" s="779" t="s">
        <v>265</v>
      </c>
    </row>
    <row r="274" spans="3:16">
      <c r="C274" s="784">
        <f>IF(D268= "","-",D268)</f>
        <v>2013</v>
      </c>
      <c r="D274" s="732">
        <f>+D267</f>
        <v>5805543</v>
      </c>
      <c r="E274" s="790">
        <f>+J271/12*(12-D269)</f>
        <v>0</v>
      </c>
      <c r="F274" s="839">
        <f t="shared" ref="F274:F333" si="17">+D274-E274</f>
        <v>5805543</v>
      </c>
      <c r="G274" s="732">
        <f>+(D274+F274)/2</f>
        <v>5805543</v>
      </c>
      <c r="H274" s="786">
        <f>+J269*G274+E274</f>
        <v>671411.9748709281</v>
      </c>
      <c r="I274" s="787">
        <f>+J270*G274+E274</f>
        <v>671411.9748709281</v>
      </c>
      <c r="J274" s="788">
        <f>+I274-H274</f>
        <v>0</v>
      </c>
      <c r="K274" s="788"/>
      <c r="L274" s="1309">
        <v>461439</v>
      </c>
      <c r="M274" s="840">
        <f t="shared" ref="M274:M333" si="18">IF(L274&lt;&gt;0,+H274-L274,0)</f>
        <v>209972.9748709281</v>
      </c>
      <c r="N274" s="1309">
        <v>461439</v>
      </c>
      <c r="O274" s="840">
        <f t="shared" ref="O274:O333" si="19">IF(N274&lt;&gt;0,+I274-N274,0)</f>
        <v>209972.9748709281</v>
      </c>
      <c r="P274" s="840">
        <f t="shared" ref="P274:P333" si="20">+O274-M274</f>
        <v>0</v>
      </c>
    </row>
    <row r="275" spans="3:16">
      <c r="C275" s="784">
        <f>IF(D268="","-",+C274+1)</f>
        <v>2014</v>
      </c>
      <c r="D275" s="732">
        <f t="shared" ref="D275:D327" si="21">F274</f>
        <v>5805543</v>
      </c>
      <c r="E275" s="785">
        <f>IF(D275&gt;$J$271,$J$271,D275)</f>
        <v>148860.07692307694</v>
      </c>
      <c r="F275" s="785">
        <f t="shared" si="17"/>
        <v>5656682.923076923</v>
      </c>
      <c r="G275" s="732">
        <f t="shared" ref="G275:G333" si="22">+(D275+F275)/2</f>
        <v>5731112.961538462</v>
      </c>
      <c r="H275" s="790">
        <f>+J269*G275+E275</f>
        <v>811664.20596232638</v>
      </c>
      <c r="I275" s="791">
        <f>+J270*G275+E275</f>
        <v>811664.20596232638</v>
      </c>
      <c r="J275" s="788">
        <f>+I275-H275</f>
        <v>0</v>
      </c>
      <c r="K275" s="788"/>
      <c r="L275" s="1310">
        <v>626067</v>
      </c>
      <c r="M275" s="788">
        <f t="shared" si="18"/>
        <v>185597.20596232638</v>
      </c>
      <c r="N275" s="1310">
        <v>626067</v>
      </c>
      <c r="O275" s="788">
        <f t="shared" si="19"/>
        <v>185597.20596232638</v>
      </c>
      <c r="P275" s="788">
        <f t="shared" si="20"/>
        <v>0</v>
      </c>
    </row>
    <row r="276" spans="3:16">
      <c r="C276" s="784">
        <f>IF(D268="","-",+C275+1)</f>
        <v>2015</v>
      </c>
      <c r="D276" s="732">
        <f t="shared" si="21"/>
        <v>5656682.923076923</v>
      </c>
      <c r="E276" s="785">
        <f t="shared" ref="E276:E333" si="23">IF(D276&gt;$J$271,$J$271,D276)</f>
        <v>148860.07692307694</v>
      </c>
      <c r="F276" s="785">
        <f t="shared" si="17"/>
        <v>5507822.846153846</v>
      </c>
      <c r="G276" s="732">
        <f t="shared" si="22"/>
        <v>5582252.884615384</v>
      </c>
      <c r="H276" s="790">
        <f>+J269*G276+E276</f>
        <v>794448.51429896918</v>
      </c>
      <c r="I276" s="791">
        <f>+J270*G276+E276</f>
        <v>794448.51429896918</v>
      </c>
      <c r="J276" s="788">
        <f t="shared" ref="J276:J333" si="24">+I276-H276</f>
        <v>0</v>
      </c>
      <c r="K276" s="788"/>
      <c r="L276" s="1310">
        <v>697699</v>
      </c>
      <c r="M276" s="788">
        <f t="shared" si="18"/>
        <v>96749.514298969181</v>
      </c>
      <c r="N276" s="1310">
        <v>697699</v>
      </c>
      <c r="O276" s="788">
        <f t="shared" si="19"/>
        <v>96749.514298969181</v>
      </c>
      <c r="P276" s="788">
        <f t="shared" si="20"/>
        <v>0</v>
      </c>
    </row>
    <row r="277" spans="3:16">
      <c r="C277" s="784">
        <f>IF(D268="","-",+C276+1)</f>
        <v>2016</v>
      </c>
      <c r="D277" s="732">
        <f t="shared" si="21"/>
        <v>5507822.846153846</v>
      </c>
      <c r="E277" s="785">
        <f t="shared" si="23"/>
        <v>148860.07692307694</v>
      </c>
      <c r="F277" s="785">
        <f t="shared" si="17"/>
        <v>5358962.769230769</v>
      </c>
      <c r="G277" s="732">
        <f t="shared" si="22"/>
        <v>5433392.807692308</v>
      </c>
      <c r="H277" s="790">
        <f>+J269*G277+E277</f>
        <v>777232.82263561222</v>
      </c>
      <c r="I277" s="791">
        <f>+J270*G277+E277</f>
        <v>777232.82263561222</v>
      </c>
      <c r="J277" s="788">
        <f t="shared" si="24"/>
        <v>0</v>
      </c>
      <c r="K277" s="788"/>
      <c r="L277" s="1310">
        <v>692483</v>
      </c>
      <c r="M277" s="788">
        <f t="shared" si="18"/>
        <v>84749.822635612218</v>
      </c>
      <c r="N277" s="1310">
        <v>692483</v>
      </c>
      <c r="O277" s="788">
        <f t="shared" si="19"/>
        <v>84749.822635612218</v>
      </c>
      <c r="P277" s="788">
        <f t="shared" si="20"/>
        <v>0</v>
      </c>
    </row>
    <row r="278" spans="3:16">
      <c r="C278" s="784">
        <f>IF(D268="","-",+C277+1)</f>
        <v>2017</v>
      </c>
      <c r="D278" s="732">
        <f t="shared" si="21"/>
        <v>5358962.769230769</v>
      </c>
      <c r="E278" s="785">
        <f t="shared" si="23"/>
        <v>148860.07692307694</v>
      </c>
      <c r="F278" s="785">
        <f t="shared" si="17"/>
        <v>5210102.692307692</v>
      </c>
      <c r="G278" s="732">
        <f t="shared" si="22"/>
        <v>5284532.7307692301</v>
      </c>
      <c r="H278" s="790">
        <f>+J269*G278+E278</f>
        <v>760017.13097225502</v>
      </c>
      <c r="I278" s="791">
        <f>+J270*G278+E278</f>
        <v>760017.13097225502</v>
      </c>
      <c r="J278" s="788">
        <f t="shared" si="24"/>
        <v>0</v>
      </c>
      <c r="K278" s="788"/>
      <c r="L278" s="1310">
        <v>737310</v>
      </c>
      <c r="M278" s="788">
        <f t="shared" si="18"/>
        <v>22707.130972255021</v>
      </c>
      <c r="N278" s="1310">
        <v>737310</v>
      </c>
      <c r="O278" s="788">
        <f t="shared" si="19"/>
        <v>22707.130972255021</v>
      </c>
      <c r="P278" s="788">
        <f t="shared" si="20"/>
        <v>0</v>
      </c>
    </row>
    <row r="279" spans="3:16">
      <c r="C279" s="784">
        <f>IF(D268="","-",+C278+1)</f>
        <v>2018</v>
      </c>
      <c r="D279" s="1402">
        <f t="shared" si="21"/>
        <v>5210102.692307692</v>
      </c>
      <c r="E279" s="785">
        <f t="shared" si="23"/>
        <v>148860.07692307694</v>
      </c>
      <c r="F279" s="785">
        <f t="shared" si="17"/>
        <v>5061242.615384615</v>
      </c>
      <c r="G279" s="732">
        <f t="shared" si="22"/>
        <v>5135672.653846154</v>
      </c>
      <c r="H279" s="790">
        <f>+J269*G279+E279</f>
        <v>742801.43930889782</v>
      </c>
      <c r="I279" s="791">
        <f>+J270*G279+E279</f>
        <v>742801.43930889782</v>
      </c>
      <c r="J279" s="788">
        <f t="shared" si="24"/>
        <v>0</v>
      </c>
      <c r="K279" s="788"/>
      <c r="L279" s="1310">
        <v>631912</v>
      </c>
      <c r="M279" s="788">
        <f t="shared" si="18"/>
        <v>110889.43930889782</v>
      </c>
      <c r="N279" s="1310">
        <v>631912</v>
      </c>
      <c r="O279" s="788">
        <f t="shared" si="19"/>
        <v>110889.43930889782</v>
      </c>
      <c r="P279" s="788">
        <f t="shared" si="20"/>
        <v>0</v>
      </c>
    </row>
    <row r="280" spans="3:16">
      <c r="C280" s="784">
        <f>IF(D268="","-",+C279+1)</f>
        <v>2019</v>
      </c>
      <c r="D280" s="1332">
        <f t="shared" si="21"/>
        <v>5061242.615384615</v>
      </c>
      <c r="E280" s="785">
        <f t="shared" si="23"/>
        <v>148860.07692307694</v>
      </c>
      <c r="F280" s="785">
        <f t="shared" si="17"/>
        <v>4912382.538461538</v>
      </c>
      <c r="G280" s="732">
        <f t="shared" si="22"/>
        <v>4986812.5769230761</v>
      </c>
      <c r="H280" s="790">
        <f>+J269*G280+E280</f>
        <v>725585.74764554063</v>
      </c>
      <c r="I280" s="791">
        <f>+J270*G280+E280</f>
        <v>725585.74764554063</v>
      </c>
      <c r="J280" s="788">
        <f t="shared" si="24"/>
        <v>0</v>
      </c>
      <c r="K280" s="788"/>
      <c r="L280" s="1310">
        <v>663516</v>
      </c>
      <c r="M280" s="788">
        <f t="shared" si="18"/>
        <v>62069.747645540629</v>
      </c>
      <c r="N280" s="1310">
        <v>663516</v>
      </c>
      <c r="O280" s="788">
        <f t="shared" si="19"/>
        <v>62069.747645540629</v>
      </c>
      <c r="P280" s="788">
        <f t="shared" si="20"/>
        <v>0</v>
      </c>
    </row>
    <row r="281" spans="3:16">
      <c r="C281" s="784">
        <f>IF(D268="","-",+C280+1)</f>
        <v>2020</v>
      </c>
      <c r="D281" s="732">
        <f t="shared" si="21"/>
        <v>4912382.538461538</v>
      </c>
      <c r="E281" s="785">
        <f t="shared" si="23"/>
        <v>148860.07692307694</v>
      </c>
      <c r="F281" s="785">
        <f t="shared" si="17"/>
        <v>4763522.461538461</v>
      </c>
      <c r="G281" s="732">
        <f t="shared" si="22"/>
        <v>4837952.5</v>
      </c>
      <c r="H281" s="790">
        <f>+J269*G281+E281</f>
        <v>708370.05598218367</v>
      </c>
      <c r="I281" s="791">
        <f>+J270*G281+E281</f>
        <v>708370.05598218367</v>
      </c>
      <c r="J281" s="788">
        <f t="shared" si="24"/>
        <v>0</v>
      </c>
      <c r="K281" s="788"/>
      <c r="L281" s="1310">
        <v>671524.69930000929</v>
      </c>
      <c r="M281" s="788">
        <f t="shared" si="18"/>
        <v>36845.356682174373</v>
      </c>
      <c r="N281" s="1310">
        <v>671524.69930000929</v>
      </c>
      <c r="O281" s="788">
        <f t="shared" si="19"/>
        <v>36845.356682174373</v>
      </c>
      <c r="P281" s="788">
        <f t="shared" si="20"/>
        <v>0</v>
      </c>
    </row>
    <row r="282" spans="3:16">
      <c r="C282" s="784">
        <f>IF(D268="","-",+C281+1)</f>
        <v>2021</v>
      </c>
      <c r="D282" s="732">
        <f t="shared" si="21"/>
        <v>4763522.461538461</v>
      </c>
      <c r="E282" s="785">
        <f t="shared" si="23"/>
        <v>148860.07692307694</v>
      </c>
      <c r="F282" s="785">
        <f t="shared" si="17"/>
        <v>4614662.384615384</v>
      </c>
      <c r="G282" s="732">
        <f t="shared" si="22"/>
        <v>4689092.4230769221</v>
      </c>
      <c r="H282" s="790">
        <f>+J269*G282+E282</f>
        <v>691154.36431882647</v>
      </c>
      <c r="I282" s="791">
        <f>+J270*G282+E282</f>
        <v>691154.36431882647</v>
      </c>
      <c r="J282" s="788">
        <f t="shared" si="24"/>
        <v>0</v>
      </c>
      <c r="K282" s="788"/>
      <c r="L282" s="1310">
        <v>658579.34236016381</v>
      </c>
      <c r="M282" s="788">
        <f t="shared" si="18"/>
        <v>32575.021958662663</v>
      </c>
      <c r="N282" s="1310">
        <v>658579.34236016381</v>
      </c>
      <c r="O282" s="788">
        <f t="shared" si="19"/>
        <v>32575.021958662663</v>
      </c>
      <c r="P282" s="788">
        <f t="shared" si="20"/>
        <v>0</v>
      </c>
    </row>
    <row r="283" spans="3:16">
      <c r="C283" s="784">
        <f>IF(D268="","-",+C282+1)</f>
        <v>2022</v>
      </c>
      <c r="D283" s="732">
        <f t="shared" si="21"/>
        <v>4614662.384615384</v>
      </c>
      <c r="E283" s="785">
        <f t="shared" si="23"/>
        <v>148860.07692307694</v>
      </c>
      <c r="F283" s="785">
        <f t="shared" si="17"/>
        <v>4465802.307692307</v>
      </c>
      <c r="G283" s="732">
        <f t="shared" si="22"/>
        <v>4540232.346153846</v>
      </c>
      <c r="H283" s="790">
        <f>+J269*G283+E283</f>
        <v>673938.67265546927</v>
      </c>
      <c r="I283" s="791">
        <f>+J270*G283+E283</f>
        <v>673938.67265546927</v>
      </c>
      <c r="J283" s="788">
        <f t="shared" si="24"/>
        <v>0</v>
      </c>
      <c r="K283" s="788"/>
      <c r="L283" s="1310"/>
      <c r="M283" s="788">
        <f t="shared" si="18"/>
        <v>0</v>
      </c>
      <c r="N283" s="1310"/>
      <c r="O283" s="788">
        <f t="shared" si="19"/>
        <v>0</v>
      </c>
      <c r="P283" s="788">
        <f t="shared" si="20"/>
        <v>0</v>
      </c>
    </row>
    <row r="284" spans="3:16">
      <c r="C284" s="784">
        <f>IF(D268="","-",+C283+1)</f>
        <v>2023</v>
      </c>
      <c r="D284" s="732">
        <f t="shared" si="21"/>
        <v>4465802.307692307</v>
      </c>
      <c r="E284" s="785">
        <f t="shared" si="23"/>
        <v>148860.07692307694</v>
      </c>
      <c r="F284" s="785">
        <f t="shared" si="17"/>
        <v>4316942.2307692301</v>
      </c>
      <c r="G284" s="732">
        <f t="shared" si="22"/>
        <v>4391372.2692307681</v>
      </c>
      <c r="H284" s="790">
        <f>+J269*G284+E284</f>
        <v>656722.98099211208</v>
      </c>
      <c r="I284" s="791">
        <f>+J270*G284+E284</f>
        <v>656722.98099211208</v>
      </c>
      <c r="J284" s="788">
        <f t="shared" si="24"/>
        <v>0</v>
      </c>
      <c r="K284" s="788"/>
      <c r="L284" s="1310"/>
      <c r="M284" s="788">
        <f t="shared" si="18"/>
        <v>0</v>
      </c>
      <c r="N284" s="1310"/>
      <c r="O284" s="788">
        <f t="shared" si="19"/>
        <v>0</v>
      </c>
      <c r="P284" s="788">
        <f t="shared" si="20"/>
        <v>0</v>
      </c>
    </row>
    <row r="285" spans="3:16">
      <c r="C285" s="784">
        <f>IF(D268="","-",+C284+1)</f>
        <v>2024</v>
      </c>
      <c r="D285" s="732">
        <f t="shared" si="21"/>
        <v>4316942.2307692301</v>
      </c>
      <c r="E285" s="785">
        <f t="shared" si="23"/>
        <v>148860.07692307694</v>
      </c>
      <c r="F285" s="785">
        <f t="shared" si="17"/>
        <v>4168082.1538461531</v>
      </c>
      <c r="G285" s="732">
        <f t="shared" si="22"/>
        <v>4242512.192307692</v>
      </c>
      <c r="H285" s="790">
        <f>+J269*G285+E285</f>
        <v>639507.28932875511</v>
      </c>
      <c r="I285" s="791">
        <f>+J270*G285+E285</f>
        <v>639507.28932875511</v>
      </c>
      <c r="J285" s="788">
        <f t="shared" si="24"/>
        <v>0</v>
      </c>
      <c r="K285" s="788"/>
      <c r="L285" s="1310"/>
      <c r="M285" s="788">
        <f t="shared" si="18"/>
        <v>0</v>
      </c>
      <c r="N285" s="1310"/>
      <c r="O285" s="788">
        <f t="shared" si="19"/>
        <v>0</v>
      </c>
      <c r="P285" s="788">
        <f t="shared" si="20"/>
        <v>0</v>
      </c>
    </row>
    <row r="286" spans="3:16">
      <c r="C286" s="784">
        <f>IF(D268="","-",+C285+1)</f>
        <v>2025</v>
      </c>
      <c r="D286" s="732">
        <f t="shared" si="21"/>
        <v>4168082.1538461531</v>
      </c>
      <c r="E286" s="785">
        <f t="shared" si="23"/>
        <v>148860.07692307694</v>
      </c>
      <c r="F286" s="785">
        <f t="shared" si="17"/>
        <v>4019222.0769230761</v>
      </c>
      <c r="G286" s="732">
        <f t="shared" si="22"/>
        <v>4093652.1153846146</v>
      </c>
      <c r="H286" s="790">
        <f>+J269*G286+E286</f>
        <v>622291.59766539792</v>
      </c>
      <c r="I286" s="791">
        <f>+J270*G286+E286</f>
        <v>622291.59766539792</v>
      </c>
      <c r="J286" s="788">
        <f t="shared" si="24"/>
        <v>0</v>
      </c>
      <c r="K286" s="788"/>
      <c r="L286" s="1310"/>
      <c r="M286" s="788">
        <f t="shared" si="18"/>
        <v>0</v>
      </c>
      <c r="N286" s="1310"/>
      <c r="O286" s="788">
        <f t="shared" si="19"/>
        <v>0</v>
      </c>
      <c r="P286" s="788">
        <f t="shared" si="20"/>
        <v>0</v>
      </c>
    </row>
    <row r="287" spans="3:16">
      <c r="C287" s="784">
        <f>IF(D268="","-",+C286+1)</f>
        <v>2026</v>
      </c>
      <c r="D287" s="732">
        <f t="shared" si="21"/>
        <v>4019222.0769230761</v>
      </c>
      <c r="E287" s="785">
        <f t="shared" si="23"/>
        <v>148860.07692307694</v>
      </c>
      <c r="F287" s="785">
        <f t="shared" si="17"/>
        <v>3870361.9999999991</v>
      </c>
      <c r="G287" s="732">
        <f t="shared" si="22"/>
        <v>3944792.0384615376</v>
      </c>
      <c r="H287" s="790">
        <f>+J269*G287+E287</f>
        <v>605075.90600204072</v>
      </c>
      <c r="I287" s="791">
        <f>+J270*G287+E287</f>
        <v>605075.90600204072</v>
      </c>
      <c r="J287" s="788">
        <f t="shared" si="24"/>
        <v>0</v>
      </c>
      <c r="K287" s="788"/>
      <c r="L287" s="1310"/>
      <c r="M287" s="788">
        <f t="shared" si="18"/>
        <v>0</v>
      </c>
      <c r="N287" s="1310"/>
      <c r="O287" s="788">
        <f t="shared" si="19"/>
        <v>0</v>
      </c>
      <c r="P287" s="788">
        <f t="shared" si="20"/>
        <v>0</v>
      </c>
    </row>
    <row r="288" spans="3:16">
      <c r="C288" s="784">
        <f>IF(D268="","-",+C287+1)</f>
        <v>2027</v>
      </c>
      <c r="D288" s="732">
        <f t="shared" si="21"/>
        <v>3870361.9999999991</v>
      </c>
      <c r="E288" s="785">
        <f t="shared" si="23"/>
        <v>148860.07692307694</v>
      </c>
      <c r="F288" s="785">
        <f t="shared" si="17"/>
        <v>3721501.9230769221</v>
      </c>
      <c r="G288" s="732">
        <f t="shared" si="22"/>
        <v>3795931.9615384606</v>
      </c>
      <c r="H288" s="790">
        <f>+J269*G288+E288</f>
        <v>587860.21433868364</v>
      </c>
      <c r="I288" s="791">
        <f>+J270*G288+E288</f>
        <v>587860.21433868364</v>
      </c>
      <c r="J288" s="788">
        <f t="shared" si="24"/>
        <v>0</v>
      </c>
      <c r="K288" s="788"/>
      <c r="L288" s="1310"/>
      <c r="M288" s="788">
        <f t="shared" si="18"/>
        <v>0</v>
      </c>
      <c r="N288" s="1310"/>
      <c r="O288" s="788">
        <f t="shared" si="19"/>
        <v>0</v>
      </c>
      <c r="P288" s="788">
        <f t="shared" si="20"/>
        <v>0</v>
      </c>
    </row>
    <row r="289" spans="3:16">
      <c r="C289" s="784">
        <f>IF(D268="","-",+C288+1)</f>
        <v>2028</v>
      </c>
      <c r="D289" s="732">
        <f t="shared" si="21"/>
        <v>3721501.9230769221</v>
      </c>
      <c r="E289" s="785">
        <f t="shared" si="23"/>
        <v>148860.07692307694</v>
      </c>
      <c r="F289" s="785">
        <f t="shared" si="17"/>
        <v>3572641.8461538451</v>
      </c>
      <c r="G289" s="732">
        <f t="shared" si="22"/>
        <v>3647071.8846153836</v>
      </c>
      <c r="H289" s="790">
        <f>+J269*G289+E289</f>
        <v>570644.52267532656</v>
      </c>
      <c r="I289" s="791">
        <f>+J270*G289+E289</f>
        <v>570644.52267532656</v>
      </c>
      <c r="J289" s="788">
        <f t="shared" si="24"/>
        <v>0</v>
      </c>
      <c r="K289" s="788"/>
      <c r="L289" s="1310"/>
      <c r="M289" s="788">
        <f t="shared" si="18"/>
        <v>0</v>
      </c>
      <c r="N289" s="1310"/>
      <c r="O289" s="788">
        <f t="shared" si="19"/>
        <v>0</v>
      </c>
      <c r="P289" s="788">
        <f t="shared" si="20"/>
        <v>0</v>
      </c>
    </row>
    <row r="290" spans="3:16">
      <c r="C290" s="784">
        <f>IF(D268="","-",+C289+1)</f>
        <v>2029</v>
      </c>
      <c r="D290" s="732">
        <f t="shared" si="21"/>
        <v>3572641.8461538451</v>
      </c>
      <c r="E290" s="785">
        <f t="shared" si="23"/>
        <v>148860.07692307694</v>
      </c>
      <c r="F290" s="785">
        <f t="shared" si="17"/>
        <v>3423781.7692307681</v>
      </c>
      <c r="G290" s="732">
        <f t="shared" si="22"/>
        <v>3498211.8076923066</v>
      </c>
      <c r="H290" s="790">
        <f>+J269*G290+E290</f>
        <v>553428.83101196936</v>
      </c>
      <c r="I290" s="791">
        <f>+J270*G290+E290</f>
        <v>553428.83101196936</v>
      </c>
      <c r="J290" s="788">
        <f t="shared" si="24"/>
        <v>0</v>
      </c>
      <c r="K290" s="788"/>
      <c r="L290" s="1310"/>
      <c r="M290" s="788">
        <f t="shared" si="18"/>
        <v>0</v>
      </c>
      <c r="N290" s="1310"/>
      <c r="O290" s="788">
        <f t="shared" si="19"/>
        <v>0</v>
      </c>
      <c r="P290" s="788">
        <f t="shared" si="20"/>
        <v>0</v>
      </c>
    </row>
    <row r="291" spans="3:16">
      <c r="C291" s="784">
        <f>IF(D268="","-",+C290+1)</f>
        <v>2030</v>
      </c>
      <c r="D291" s="732">
        <f t="shared" si="21"/>
        <v>3423781.7692307681</v>
      </c>
      <c r="E291" s="785">
        <f t="shared" si="23"/>
        <v>148860.07692307694</v>
      </c>
      <c r="F291" s="785">
        <f t="shared" si="17"/>
        <v>3274921.6923076911</v>
      </c>
      <c r="G291" s="732">
        <f t="shared" si="22"/>
        <v>3349351.7307692296</v>
      </c>
      <c r="H291" s="790">
        <f>+J269*G291+E291</f>
        <v>536213.13934861217</v>
      </c>
      <c r="I291" s="791">
        <f>+J270*G291+E291</f>
        <v>536213.13934861217</v>
      </c>
      <c r="J291" s="788">
        <f t="shared" si="24"/>
        <v>0</v>
      </c>
      <c r="K291" s="788"/>
      <c r="L291" s="1310"/>
      <c r="M291" s="788">
        <f t="shared" si="18"/>
        <v>0</v>
      </c>
      <c r="N291" s="1310"/>
      <c r="O291" s="788">
        <f t="shared" si="19"/>
        <v>0</v>
      </c>
      <c r="P291" s="788">
        <f t="shared" si="20"/>
        <v>0</v>
      </c>
    </row>
    <row r="292" spans="3:16">
      <c r="C292" s="784">
        <f>IF(D268="","-",+C291+1)</f>
        <v>2031</v>
      </c>
      <c r="D292" s="732">
        <f t="shared" si="21"/>
        <v>3274921.6923076911</v>
      </c>
      <c r="E292" s="785">
        <f t="shared" si="23"/>
        <v>148860.07692307694</v>
      </c>
      <c r="F292" s="785">
        <f t="shared" si="17"/>
        <v>3126061.6153846141</v>
      </c>
      <c r="G292" s="732">
        <f t="shared" si="22"/>
        <v>3200491.6538461526</v>
      </c>
      <c r="H292" s="790">
        <f>+J269*G292+E292</f>
        <v>518997.44768525509</v>
      </c>
      <c r="I292" s="791">
        <f>+J270*G292+E292</f>
        <v>518997.44768525509</v>
      </c>
      <c r="J292" s="788">
        <f t="shared" si="24"/>
        <v>0</v>
      </c>
      <c r="K292" s="788"/>
      <c r="L292" s="1310"/>
      <c r="M292" s="788">
        <f t="shared" si="18"/>
        <v>0</v>
      </c>
      <c r="N292" s="1310"/>
      <c r="O292" s="788">
        <f t="shared" si="19"/>
        <v>0</v>
      </c>
      <c r="P292" s="788">
        <f t="shared" si="20"/>
        <v>0</v>
      </c>
    </row>
    <row r="293" spans="3:16">
      <c r="C293" s="784">
        <f>IF(D268="","-",+C292+1)</f>
        <v>2032</v>
      </c>
      <c r="D293" s="732">
        <f t="shared" si="21"/>
        <v>3126061.6153846141</v>
      </c>
      <c r="E293" s="785">
        <f t="shared" si="23"/>
        <v>148860.07692307694</v>
      </c>
      <c r="F293" s="785">
        <f t="shared" si="17"/>
        <v>2977201.5384615371</v>
      </c>
      <c r="G293" s="732">
        <f t="shared" si="22"/>
        <v>3051631.5769230756</v>
      </c>
      <c r="H293" s="790">
        <f>+J269*G293+E293</f>
        <v>501781.75602189795</v>
      </c>
      <c r="I293" s="791">
        <f>+J270*G293+E293</f>
        <v>501781.75602189795</v>
      </c>
      <c r="J293" s="788">
        <f t="shared" si="24"/>
        <v>0</v>
      </c>
      <c r="K293" s="788"/>
      <c r="L293" s="1310"/>
      <c r="M293" s="788">
        <f t="shared" si="18"/>
        <v>0</v>
      </c>
      <c r="N293" s="1310"/>
      <c r="O293" s="788">
        <f t="shared" si="19"/>
        <v>0</v>
      </c>
      <c r="P293" s="788">
        <f t="shared" si="20"/>
        <v>0</v>
      </c>
    </row>
    <row r="294" spans="3:16">
      <c r="C294" s="784">
        <f>IF(D268="","-",+C293+1)</f>
        <v>2033</v>
      </c>
      <c r="D294" s="732">
        <f t="shared" si="21"/>
        <v>2977201.5384615371</v>
      </c>
      <c r="E294" s="785">
        <f t="shared" si="23"/>
        <v>148860.07692307694</v>
      </c>
      <c r="F294" s="785">
        <f t="shared" si="17"/>
        <v>2828341.4615384601</v>
      </c>
      <c r="G294" s="732">
        <f t="shared" si="22"/>
        <v>2902771.4999999986</v>
      </c>
      <c r="H294" s="790">
        <f>+J269*G294+E294</f>
        <v>484566.06435854081</v>
      </c>
      <c r="I294" s="791">
        <f>+J270*G294+E294</f>
        <v>484566.06435854081</v>
      </c>
      <c r="J294" s="788">
        <f t="shared" si="24"/>
        <v>0</v>
      </c>
      <c r="K294" s="788"/>
      <c r="L294" s="1310"/>
      <c r="M294" s="788">
        <f t="shared" si="18"/>
        <v>0</v>
      </c>
      <c r="N294" s="1310"/>
      <c r="O294" s="788">
        <f t="shared" si="19"/>
        <v>0</v>
      </c>
      <c r="P294" s="788">
        <f t="shared" si="20"/>
        <v>0</v>
      </c>
    </row>
    <row r="295" spans="3:16">
      <c r="C295" s="784">
        <f>IF(D268="","-",+C294+1)</f>
        <v>2034</v>
      </c>
      <c r="D295" s="732">
        <f t="shared" si="21"/>
        <v>2828341.4615384601</v>
      </c>
      <c r="E295" s="785">
        <f t="shared" si="23"/>
        <v>148860.07692307694</v>
      </c>
      <c r="F295" s="785">
        <f t="shared" si="17"/>
        <v>2679481.3846153831</v>
      </c>
      <c r="G295" s="732">
        <f t="shared" si="22"/>
        <v>2753911.4230769216</v>
      </c>
      <c r="H295" s="790">
        <f>+J269*G295+E295</f>
        <v>467350.37269518367</v>
      </c>
      <c r="I295" s="791">
        <f>+J270*G295+E295</f>
        <v>467350.37269518367</v>
      </c>
      <c r="J295" s="788">
        <f t="shared" si="24"/>
        <v>0</v>
      </c>
      <c r="K295" s="788"/>
      <c r="L295" s="1310"/>
      <c r="M295" s="788">
        <f t="shared" si="18"/>
        <v>0</v>
      </c>
      <c r="N295" s="1310"/>
      <c r="O295" s="788">
        <f t="shared" si="19"/>
        <v>0</v>
      </c>
      <c r="P295" s="788">
        <f t="shared" si="20"/>
        <v>0</v>
      </c>
    </row>
    <row r="296" spans="3:16">
      <c r="C296" s="784">
        <f>IF(D268="","-",+C295+1)</f>
        <v>2035</v>
      </c>
      <c r="D296" s="732">
        <f t="shared" si="21"/>
        <v>2679481.3846153831</v>
      </c>
      <c r="E296" s="785">
        <f t="shared" si="23"/>
        <v>148860.07692307694</v>
      </c>
      <c r="F296" s="785">
        <f t="shared" si="17"/>
        <v>2530621.3076923061</v>
      </c>
      <c r="G296" s="732">
        <f t="shared" si="22"/>
        <v>2605051.3461538446</v>
      </c>
      <c r="H296" s="790">
        <f>+J269*G296+E296</f>
        <v>450134.68103182653</v>
      </c>
      <c r="I296" s="791">
        <f>+J270*G296+E296</f>
        <v>450134.68103182653</v>
      </c>
      <c r="J296" s="788">
        <f t="shared" si="24"/>
        <v>0</v>
      </c>
      <c r="K296" s="788"/>
      <c r="L296" s="1310"/>
      <c r="M296" s="788">
        <f t="shared" si="18"/>
        <v>0</v>
      </c>
      <c r="N296" s="1310"/>
      <c r="O296" s="788">
        <f t="shared" si="19"/>
        <v>0</v>
      </c>
      <c r="P296" s="788">
        <f t="shared" si="20"/>
        <v>0</v>
      </c>
    </row>
    <row r="297" spans="3:16">
      <c r="C297" s="784">
        <f>IF(D268="","-",+C296+1)</f>
        <v>2036</v>
      </c>
      <c r="D297" s="732">
        <f t="shared" si="21"/>
        <v>2530621.3076923061</v>
      </c>
      <c r="E297" s="785">
        <f t="shared" si="23"/>
        <v>148860.07692307694</v>
      </c>
      <c r="F297" s="785">
        <f t="shared" si="17"/>
        <v>2381761.2307692291</v>
      </c>
      <c r="G297" s="732">
        <f t="shared" si="22"/>
        <v>2456191.2692307676</v>
      </c>
      <c r="H297" s="790">
        <f>+J269*G297+E297</f>
        <v>432918.9893684694</v>
      </c>
      <c r="I297" s="791">
        <f>+J270*G297+E297</f>
        <v>432918.9893684694</v>
      </c>
      <c r="J297" s="788">
        <f t="shared" si="24"/>
        <v>0</v>
      </c>
      <c r="K297" s="788"/>
      <c r="L297" s="1310"/>
      <c r="M297" s="788">
        <f t="shared" si="18"/>
        <v>0</v>
      </c>
      <c r="N297" s="1310"/>
      <c r="O297" s="788">
        <f t="shared" si="19"/>
        <v>0</v>
      </c>
      <c r="P297" s="788">
        <f t="shared" si="20"/>
        <v>0</v>
      </c>
    </row>
    <row r="298" spans="3:16">
      <c r="C298" s="784">
        <f>IF(D268="","-",+C297+1)</f>
        <v>2037</v>
      </c>
      <c r="D298" s="732">
        <f t="shared" si="21"/>
        <v>2381761.2307692291</v>
      </c>
      <c r="E298" s="785">
        <f t="shared" si="23"/>
        <v>148860.07692307694</v>
      </c>
      <c r="F298" s="785">
        <f t="shared" si="17"/>
        <v>2232901.1538461521</v>
      </c>
      <c r="G298" s="732">
        <f t="shared" si="22"/>
        <v>2307331.1923076906</v>
      </c>
      <c r="H298" s="790">
        <f>+J269*G298+E298</f>
        <v>415703.29770511226</v>
      </c>
      <c r="I298" s="791">
        <f>+J270*G298+E298</f>
        <v>415703.29770511226</v>
      </c>
      <c r="J298" s="788">
        <f t="shared" si="24"/>
        <v>0</v>
      </c>
      <c r="K298" s="788"/>
      <c r="L298" s="1310"/>
      <c r="M298" s="788">
        <f t="shared" si="18"/>
        <v>0</v>
      </c>
      <c r="N298" s="1310"/>
      <c r="O298" s="788">
        <f t="shared" si="19"/>
        <v>0</v>
      </c>
      <c r="P298" s="788">
        <f t="shared" si="20"/>
        <v>0</v>
      </c>
    </row>
    <row r="299" spans="3:16">
      <c r="C299" s="784">
        <f>IF(D268="","-",+C298+1)</f>
        <v>2038</v>
      </c>
      <c r="D299" s="732">
        <f t="shared" si="21"/>
        <v>2232901.1538461521</v>
      </c>
      <c r="E299" s="785">
        <f t="shared" si="23"/>
        <v>148860.07692307694</v>
      </c>
      <c r="F299" s="785">
        <f t="shared" si="17"/>
        <v>2084041.0769230751</v>
      </c>
      <c r="G299" s="732">
        <f t="shared" si="22"/>
        <v>2158471.1153846136</v>
      </c>
      <c r="H299" s="790">
        <f>+J269*G299+E299</f>
        <v>398487.60604175512</v>
      </c>
      <c r="I299" s="791">
        <f>+J270*G299+E299</f>
        <v>398487.60604175512</v>
      </c>
      <c r="J299" s="788">
        <f t="shared" si="24"/>
        <v>0</v>
      </c>
      <c r="K299" s="788"/>
      <c r="L299" s="1310"/>
      <c r="M299" s="788">
        <f t="shared" si="18"/>
        <v>0</v>
      </c>
      <c r="N299" s="1310"/>
      <c r="O299" s="788">
        <f t="shared" si="19"/>
        <v>0</v>
      </c>
      <c r="P299" s="788">
        <f t="shared" si="20"/>
        <v>0</v>
      </c>
    </row>
    <row r="300" spans="3:16">
      <c r="C300" s="784">
        <f>IF(D268="","-",+C299+1)</f>
        <v>2039</v>
      </c>
      <c r="D300" s="732">
        <f t="shared" si="21"/>
        <v>2084041.0769230751</v>
      </c>
      <c r="E300" s="785">
        <f t="shared" si="23"/>
        <v>148860.07692307694</v>
      </c>
      <c r="F300" s="785">
        <f t="shared" si="17"/>
        <v>1935180.9999999981</v>
      </c>
      <c r="G300" s="732">
        <f t="shared" si="22"/>
        <v>2009611.0384615366</v>
      </c>
      <c r="H300" s="790">
        <f>+J269*G300+E300</f>
        <v>381271.91437839798</v>
      </c>
      <c r="I300" s="791">
        <f>+J270*G300+E300</f>
        <v>381271.91437839798</v>
      </c>
      <c r="J300" s="788">
        <f t="shared" si="24"/>
        <v>0</v>
      </c>
      <c r="K300" s="788"/>
      <c r="L300" s="1310"/>
      <c r="M300" s="788">
        <f t="shared" si="18"/>
        <v>0</v>
      </c>
      <c r="N300" s="1310"/>
      <c r="O300" s="788">
        <f t="shared" si="19"/>
        <v>0</v>
      </c>
      <c r="P300" s="788">
        <f t="shared" si="20"/>
        <v>0</v>
      </c>
    </row>
    <row r="301" spans="3:16">
      <c r="C301" s="784">
        <f>IF(D268="","-",+C300+1)</f>
        <v>2040</v>
      </c>
      <c r="D301" s="732">
        <f t="shared" si="21"/>
        <v>1935180.9999999981</v>
      </c>
      <c r="E301" s="785">
        <f t="shared" si="23"/>
        <v>148860.07692307694</v>
      </c>
      <c r="F301" s="785">
        <f t="shared" si="17"/>
        <v>1786320.9230769211</v>
      </c>
      <c r="G301" s="732">
        <f t="shared" si="22"/>
        <v>1860750.9615384596</v>
      </c>
      <c r="H301" s="790">
        <f>+J269*G301+E301</f>
        <v>364056.22271504084</v>
      </c>
      <c r="I301" s="791">
        <f>+J270*G301+E301</f>
        <v>364056.22271504084</v>
      </c>
      <c r="J301" s="788">
        <f t="shared" si="24"/>
        <v>0</v>
      </c>
      <c r="K301" s="788"/>
      <c r="L301" s="1310"/>
      <c r="M301" s="788">
        <f t="shared" si="18"/>
        <v>0</v>
      </c>
      <c r="N301" s="1310"/>
      <c r="O301" s="788">
        <f t="shared" si="19"/>
        <v>0</v>
      </c>
      <c r="P301" s="788">
        <f t="shared" si="20"/>
        <v>0</v>
      </c>
    </row>
    <row r="302" spans="3:16">
      <c r="C302" s="784">
        <f>IF(D268="","-",+C301+1)</f>
        <v>2041</v>
      </c>
      <c r="D302" s="732">
        <f t="shared" si="21"/>
        <v>1786320.9230769211</v>
      </c>
      <c r="E302" s="785">
        <f t="shared" si="23"/>
        <v>148860.07692307694</v>
      </c>
      <c r="F302" s="785">
        <f t="shared" si="17"/>
        <v>1637460.8461538441</v>
      </c>
      <c r="G302" s="732">
        <f t="shared" si="22"/>
        <v>1711890.8846153826</v>
      </c>
      <c r="H302" s="790">
        <f>+J269*G302+E302</f>
        <v>346840.53105168371</v>
      </c>
      <c r="I302" s="791">
        <f>+J270*G302+E302</f>
        <v>346840.53105168371</v>
      </c>
      <c r="J302" s="788">
        <f t="shared" si="24"/>
        <v>0</v>
      </c>
      <c r="K302" s="788"/>
      <c r="L302" s="1310"/>
      <c r="M302" s="788">
        <f t="shared" si="18"/>
        <v>0</v>
      </c>
      <c r="N302" s="1310"/>
      <c r="O302" s="788">
        <f t="shared" si="19"/>
        <v>0</v>
      </c>
      <c r="P302" s="788">
        <f t="shared" si="20"/>
        <v>0</v>
      </c>
    </row>
    <row r="303" spans="3:16">
      <c r="C303" s="784">
        <f>IF(D268="","-",+C302+1)</f>
        <v>2042</v>
      </c>
      <c r="D303" s="732">
        <f t="shared" si="21"/>
        <v>1637460.8461538441</v>
      </c>
      <c r="E303" s="785">
        <f t="shared" si="23"/>
        <v>148860.07692307694</v>
      </c>
      <c r="F303" s="785">
        <f t="shared" si="17"/>
        <v>1488600.7692307672</v>
      </c>
      <c r="G303" s="732">
        <f t="shared" si="22"/>
        <v>1563030.8076923057</v>
      </c>
      <c r="H303" s="790">
        <f>+J269*G303+E303</f>
        <v>329624.83938832657</v>
      </c>
      <c r="I303" s="791">
        <f>+J270*G303+E303</f>
        <v>329624.83938832657</v>
      </c>
      <c r="J303" s="788">
        <f t="shared" si="24"/>
        <v>0</v>
      </c>
      <c r="K303" s="788"/>
      <c r="L303" s="1310"/>
      <c r="M303" s="788">
        <f t="shared" si="18"/>
        <v>0</v>
      </c>
      <c r="N303" s="1310"/>
      <c r="O303" s="788">
        <f t="shared" si="19"/>
        <v>0</v>
      </c>
      <c r="P303" s="788">
        <f t="shared" si="20"/>
        <v>0</v>
      </c>
    </row>
    <row r="304" spans="3:16">
      <c r="C304" s="784">
        <f>IF(D268="","-",+C303+1)</f>
        <v>2043</v>
      </c>
      <c r="D304" s="732">
        <f t="shared" si="21"/>
        <v>1488600.7692307672</v>
      </c>
      <c r="E304" s="785">
        <f t="shared" si="23"/>
        <v>148860.07692307694</v>
      </c>
      <c r="F304" s="785">
        <f t="shared" si="17"/>
        <v>1339740.6923076902</v>
      </c>
      <c r="G304" s="732">
        <f t="shared" si="22"/>
        <v>1414170.7307692287</v>
      </c>
      <c r="H304" s="790">
        <f>+J269*G304+E304</f>
        <v>312409.14772496943</v>
      </c>
      <c r="I304" s="791">
        <f>+J270*G304+E304</f>
        <v>312409.14772496943</v>
      </c>
      <c r="J304" s="788">
        <f t="shared" si="24"/>
        <v>0</v>
      </c>
      <c r="K304" s="788"/>
      <c r="L304" s="1310"/>
      <c r="M304" s="788">
        <f t="shared" si="18"/>
        <v>0</v>
      </c>
      <c r="N304" s="1310"/>
      <c r="O304" s="788">
        <f t="shared" si="19"/>
        <v>0</v>
      </c>
      <c r="P304" s="788">
        <f t="shared" si="20"/>
        <v>0</v>
      </c>
    </row>
    <row r="305" spans="3:16">
      <c r="C305" s="784">
        <f>IF(D268="","-",+C304+1)</f>
        <v>2044</v>
      </c>
      <c r="D305" s="732">
        <f t="shared" si="21"/>
        <v>1339740.6923076902</v>
      </c>
      <c r="E305" s="785">
        <f t="shared" si="23"/>
        <v>148860.07692307694</v>
      </c>
      <c r="F305" s="785">
        <f t="shared" si="17"/>
        <v>1190880.6153846132</v>
      </c>
      <c r="G305" s="732">
        <f t="shared" si="22"/>
        <v>1265310.6538461517</v>
      </c>
      <c r="H305" s="790">
        <f>+J269*G305+E305</f>
        <v>295193.45606161229</v>
      </c>
      <c r="I305" s="791">
        <f>+J270*G305+E305</f>
        <v>295193.45606161229</v>
      </c>
      <c r="J305" s="788">
        <f t="shared" si="24"/>
        <v>0</v>
      </c>
      <c r="K305" s="788"/>
      <c r="L305" s="1310"/>
      <c r="M305" s="788">
        <f t="shared" si="18"/>
        <v>0</v>
      </c>
      <c r="N305" s="1310"/>
      <c r="O305" s="788">
        <f t="shared" si="19"/>
        <v>0</v>
      </c>
      <c r="P305" s="788">
        <f t="shared" si="20"/>
        <v>0</v>
      </c>
    </row>
    <row r="306" spans="3:16">
      <c r="C306" s="784">
        <f>IF(D268="","-",+C305+1)</f>
        <v>2045</v>
      </c>
      <c r="D306" s="732">
        <f t="shared" si="21"/>
        <v>1190880.6153846132</v>
      </c>
      <c r="E306" s="785">
        <f t="shared" si="23"/>
        <v>148860.07692307694</v>
      </c>
      <c r="F306" s="785">
        <f t="shared" si="17"/>
        <v>1042020.5384615362</v>
      </c>
      <c r="G306" s="732">
        <f t="shared" si="22"/>
        <v>1116450.5769230747</v>
      </c>
      <c r="H306" s="790">
        <f>+J269*G306+E306</f>
        <v>277977.76439825515</v>
      </c>
      <c r="I306" s="791">
        <f>+J270*G306+E306</f>
        <v>277977.76439825515</v>
      </c>
      <c r="J306" s="788">
        <f t="shared" si="24"/>
        <v>0</v>
      </c>
      <c r="K306" s="788"/>
      <c r="L306" s="1310"/>
      <c r="M306" s="788">
        <f t="shared" si="18"/>
        <v>0</v>
      </c>
      <c r="N306" s="1310"/>
      <c r="O306" s="788">
        <f t="shared" si="19"/>
        <v>0</v>
      </c>
      <c r="P306" s="788">
        <f t="shared" si="20"/>
        <v>0</v>
      </c>
    </row>
    <row r="307" spans="3:16">
      <c r="C307" s="784">
        <f>IF(D268="","-",+C306+1)</f>
        <v>2046</v>
      </c>
      <c r="D307" s="732">
        <f t="shared" si="21"/>
        <v>1042020.5384615362</v>
      </c>
      <c r="E307" s="785">
        <f t="shared" si="23"/>
        <v>148860.07692307694</v>
      </c>
      <c r="F307" s="785">
        <f t="shared" si="17"/>
        <v>893160.46153845917</v>
      </c>
      <c r="G307" s="732">
        <f t="shared" si="22"/>
        <v>967590.49999999767</v>
      </c>
      <c r="H307" s="790">
        <f>+J269*G307+E307</f>
        <v>260762.07273489801</v>
      </c>
      <c r="I307" s="791">
        <f>+J270*G307+E307</f>
        <v>260762.07273489801</v>
      </c>
      <c r="J307" s="788">
        <f t="shared" si="24"/>
        <v>0</v>
      </c>
      <c r="K307" s="788"/>
      <c r="L307" s="1310"/>
      <c r="M307" s="788">
        <f t="shared" si="18"/>
        <v>0</v>
      </c>
      <c r="N307" s="1310"/>
      <c r="O307" s="788">
        <f t="shared" si="19"/>
        <v>0</v>
      </c>
      <c r="P307" s="788">
        <f t="shared" si="20"/>
        <v>0</v>
      </c>
    </row>
    <row r="308" spans="3:16">
      <c r="C308" s="784">
        <f>IF(D268="","-",+C307+1)</f>
        <v>2047</v>
      </c>
      <c r="D308" s="732">
        <f t="shared" si="21"/>
        <v>893160.46153845917</v>
      </c>
      <c r="E308" s="785">
        <f t="shared" si="23"/>
        <v>148860.07692307694</v>
      </c>
      <c r="F308" s="785">
        <f t="shared" si="17"/>
        <v>744300.38461538218</v>
      </c>
      <c r="G308" s="732">
        <f t="shared" si="22"/>
        <v>818730.42307692068</v>
      </c>
      <c r="H308" s="790">
        <f>+J269*G308+E308</f>
        <v>243546.38107154088</v>
      </c>
      <c r="I308" s="791">
        <f>+J270*G308+E308</f>
        <v>243546.38107154088</v>
      </c>
      <c r="J308" s="788">
        <f t="shared" si="24"/>
        <v>0</v>
      </c>
      <c r="K308" s="788"/>
      <c r="L308" s="1310"/>
      <c r="M308" s="788">
        <f t="shared" si="18"/>
        <v>0</v>
      </c>
      <c r="N308" s="1310"/>
      <c r="O308" s="788">
        <f t="shared" si="19"/>
        <v>0</v>
      </c>
      <c r="P308" s="788">
        <f t="shared" si="20"/>
        <v>0</v>
      </c>
    </row>
    <row r="309" spans="3:16">
      <c r="C309" s="784">
        <f>IF(D268="","-",+C308+1)</f>
        <v>2048</v>
      </c>
      <c r="D309" s="732">
        <f t="shared" si="21"/>
        <v>744300.38461538218</v>
      </c>
      <c r="E309" s="785">
        <f t="shared" si="23"/>
        <v>148860.07692307694</v>
      </c>
      <c r="F309" s="785">
        <f t="shared" si="17"/>
        <v>595440.30769230518</v>
      </c>
      <c r="G309" s="732">
        <f t="shared" si="22"/>
        <v>669870.34615384368</v>
      </c>
      <c r="H309" s="790">
        <f>+J269*G309+E309</f>
        <v>226330.68940818374</v>
      </c>
      <c r="I309" s="791">
        <f>+J270*G309+E309</f>
        <v>226330.68940818374</v>
      </c>
      <c r="J309" s="788">
        <f t="shared" si="24"/>
        <v>0</v>
      </c>
      <c r="K309" s="788"/>
      <c r="L309" s="1310"/>
      <c r="M309" s="788">
        <f t="shared" si="18"/>
        <v>0</v>
      </c>
      <c r="N309" s="1310"/>
      <c r="O309" s="788">
        <f t="shared" si="19"/>
        <v>0</v>
      </c>
      <c r="P309" s="788">
        <f t="shared" si="20"/>
        <v>0</v>
      </c>
    </row>
    <row r="310" spans="3:16">
      <c r="C310" s="784">
        <f>IF(D268="","-",+C309+1)</f>
        <v>2049</v>
      </c>
      <c r="D310" s="732">
        <f t="shared" si="21"/>
        <v>595440.30769230518</v>
      </c>
      <c r="E310" s="785">
        <f t="shared" si="23"/>
        <v>148860.07692307694</v>
      </c>
      <c r="F310" s="785">
        <f t="shared" si="17"/>
        <v>446580.23076922825</v>
      </c>
      <c r="G310" s="732">
        <f t="shared" si="22"/>
        <v>521010.26923076669</v>
      </c>
      <c r="H310" s="790">
        <f>+J269*G310+E310</f>
        <v>209114.9977448266</v>
      </c>
      <c r="I310" s="791">
        <f>+J270*G310+E310</f>
        <v>209114.9977448266</v>
      </c>
      <c r="J310" s="788">
        <f t="shared" si="24"/>
        <v>0</v>
      </c>
      <c r="K310" s="788"/>
      <c r="L310" s="1310"/>
      <c r="M310" s="788">
        <f t="shared" si="18"/>
        <v>0</v>
      </c>
      <c r="N310" s="1310"/>
      <c r="O310" s="788">
        <f t="shared" si="19"/>
        <v>0</v>
      </c>
      <c r="P310" s="788">
        <f t="shared" si="20"/>
        <v>0</v>
      </c>
    </row>
    <row r="311" spans="3:16">
      <c r="C311" s="784">
        <f>IF(D268="","-",+C310+1)</f>
        <v>2050</v>
      </c>
      <c r="D311" s="732">
        <f t="shared" si="21"/>
        <v>446580.23076922825</v>
      </c>
      <c r="E311" s="785">
        <f t="shared" si="23"/>
        <v>148860.07692307694</v>
      </c>
      <c r="F311" s="785">
        <f t="shared" si="17"/>
        <v>297720.15384615131</v>
      </c>
      <c r="G311" s="732">
        <f t="shared" si="22"/>
        <v>372150.19230768981</v>
      </c>
      <c r="H311" s="790">
        <f>+J269*G311+E311</f>
        <v>191899.30608146946</v>
      </c>
      <c r="I311" s="791">
        <f>+J270*G311+E311</f>
        <v>191899.30608146946</v>
      </c>
      <c r="J311" s="788">
        <f t="shared" si="24"/>
        <v>0</v>
      </c>
      <c r="K311" s="788"/>
      <c r="L311" s="1310"/>
      <c r="M311" s="788">
        <f t="shared" si="18"/>
        <v>0</v>
      </c>
      <c r="N311" s="1310"/>
      <c r="O311" s="788">
        <f t="shared" si="19"/>
        <v>0</v>
      </c>
      <c r="P311" s="788">
        <f t="shared" si="20"/>
        <v>0</v>
      </c>
    </row>
    <row r="312" spans="3:16">
      <c r="C312" s="784">
        <f>IF(D268="","-",+C311+1)</f>
        <v>2051</v>
      </c>
      <c r="D312" s="732">
        <f t="shared" si="21"/>
        <v>297720.15384615131</v>
      </c>
      <c r="E312" s="785">
        <f t="shared" si="23"/>
        <v>148860.07692307694</v>
      </c>
      <c r="F312" s="785">
        <f t="shared" si="17"/>
        <v>148860.07692307438</v>
      </c>
      <c r="G312" s="732">
        <f t="shared" si="22"/>
        <v>223290.11538461284</v>
      </c>
      <c r="H312" s="790">
        <f>+J269*G312+E312</f>
        <v>174683.61441811232</v>
      </c>
      <c r="I312" s="791">
        <f>+J270*G312+E312</f>
        <v>174683.61441811232</v>
      </c>
      <c r="J312" s="788">
        <f t="shared" si="24"/>
        <v>0</v>
      </c>
      <c r="K312" s="788"/>
      <c r="L312" s="1310"/>
      <c r="M312" s="788">
        <f t="shared" si="18"/>
        <v>0</v>
      </c>
      <c r="N312" s="1310"/>
      <c r="O312" s="788">
        <f t="shared" si="19"/>
        <v>0</v>
      </c>
      <c r="P312" s="788">
        <f t="shared" si="20"/>
        <v>0</v>
      </c>
    </row>
    <row r="313" spans="3:16">
      <c r="C313" s="784">
        <f>IF(D268="","-",+C312+1)</f>
        <v>2052</v>
      </c>
      <c r="D313" s="732">
        <f t="shared" si="21"/>
        <v>148860.07692307438</v>
      </c>
      <c r="E313" s="785">
        <f t="shared" si="23"/>
        <v>148860.07692307438</v>
      </c>
      <c r="F313" s="785">
        <f t="shared" si="17"/>
        <v>0</v>
      </c>
      <c r="G313" s="732">
        <f t="shared" si="22"/>
        <v>74430.038461537188</v>
      </c>
      <c r="H313" s="790">
        <f>+J269*G313+E313</f>
        <v>157467.9227547528</v>
      </c>
      <c r="I313" s="791">
        <f>+J270*G313+E313</f>
        <v>157467.9227547528</v>
      </c>
      <c r="J313" s="788">
        <f t="shared" si="24"/>
        <v>0</v>
      </c>
      <c r="K313" s="788"/>
      <c r="L313" s="1310"/>
      <c r="M313" s="788">
        <f t="shared" si="18"/>
        <v>0</v>
      </c>
      <c r="N313" s="1310"/>
      <c r="O313" s="788">
        <f t="shared" si="19"/>
        <v>0</v>
      </c>
      <c r="P313" s="788">
        <f t="shared" si="20"/>
        <v>0</v>
      </c>
    </row>
    <row r="314" spans="3:16">
      <c r="C314" s="784">
        <f>IF(D268="","-",+C313+1)</f>
        <v>2053</v>
      </c>
      <c r="D314" s="732">
        <f t="shared" si="21"/>
        <v>0</v>
      </c>
      <c r="E314" s="785">
        <f t="shared" si="23"/>
        <v>0</v>
      </c>
      <c r="F314" s="785">
        <f t="shared" si="17"/>
        <v>0</v>
      </c>
      <c r="G314" s="732">
        <f t="shared" si="22"/>
        <v>0</v>
      </c>
      <c r="H314" s="790">
        <f>+J269*G314+E314</f>
        <v>0</v>
      </c>
      <c r="I314" s="791">
        <f>+J270*G314+E314</f>
        <v>0</v>
      </c>
      <c r="J314" s="788">
        <f t="shared" si="24"/>
        <v>0</v>
      </c>
      <c r="K314" s="788"/>
      <c r="L314" s="1310"/>
      <c r="M314" s="788">
        <f t="shared" si="18"/>
        <v>0</v>
      </c>
      <c r="N314" s="1310"/>
      <c r="O314" s="788">
        <f t="shared" si="19"/>
        <v>0</v>
      </c>
      <c r="P314" s="788">
        <f t="shared" si="20"/>
        <v>0</v>
      </c>
    </row>
    <row r="315" spans="3:16">
      <c r="C315" s="784">
        <f>IF(D268="","-",+C314+1)</f>
        <v>2054</v>
      </c>
      <c r="D315" s="732">
        <f t="shared" si="21"/>
        <v>0</v>
      </c>
      <c r="E315" s="785">
        <f t="shared" si="23"/>
        <v>0</v>
      </c>
      <c r="F315" s="785">
        <f t="shared" si="17"/>
        <v>0</v>
      </c>
      <c r="G315" s="732">
        <f t="shared" si="22"/>
        <v>0</v>
      </c>
      <c r="H315" s="790">
        <f>+J269*G315+E315</f>
        <v>0</v>
      </c>
      <c r="I315" s="791">
        <f>+J270*G315+E315</f>
        <v>0</v>
      </c>
      <c r="J315" s="788">
        <f t="shared" si="24"/>
        <v>0</v>
      </c>
      <c r="K315" s="788"/>
      <c r="L315" s="1310"/>
      <c r="M315" s="788">
        <f t="shared" si="18"/>
        <v>0</v>
      </c>
      <c r="N315" s="1310"/>
      <c r="O315" s="788">
        <f t="shared" si="19"/>
        <v>0</v>
      </c>
      <c r="P315" s="788">
        <f t="shared" si="20"/>
        <v>0</v>
      </c>
    </row>
    <row r="316" spans="3:16">
      <c r="C316" s="784">
        <f>IF(D268="","-",+C315+1)</f>
        <v>2055</v>
      </c>
      <c r="D316" s="732">
        <f t="shared" si="21"/>
        <v>0</v>
      </c>
      <c r="E316" s="785">
        <f t="shared" si="23"/>
        <v>0</v>
      </c>
      <c r="F316" s="785">
        <f t="shared" si="17"/>
        <v>0</v>
      </c>
      <c r="G316" s="732">
        <f t="shared" si="22"/>
        <v>0</v>
      </c>
      <c r="H316" s="790">
        <f>+J269*G316+E316</f>
        <v>0</v>
      </c>
      <c r="I316" s="791">
        <f>+J270*G316+E316</f>
        <v>0</v>
      </c>
      <c r="J316" s="788">
        <f t="shared" si="24"/>
        <v>0</v>
      </c>
      <c r="K316" s="788"/>
      <c r="L316" s="1310"/>
      <c r="M316" s="788">
        <f t="shared" si="18"/>
        <v>0</v>
      </c>
      <c r="N316" s="1310"/>
      <c r="O316" s="788">
        <f t="shared" si="19"/>
        <v>0</v>
      </c>
      <c r="P316" s="788">
        <f t="shared" si="20"/>
        <v>0</v>
      </c>
    </row>
    <row r="317" spans="3:16">
      <c r="C317" s="784">
        <f>IF(D268="","-",+C316+1)</f>
        <v>2056</v>
      </c>
      <c r="D317" s="732">
        <f t="shared" si="21"/>
        <v>0</v>
      </c>
      <c r="E317" s="785">
        <f t="shared" si="23"/>
        <v>0</v>
      </c>
      <c r="F317" s="785">
        <f t="shared" si="17"/>
        <v>0</v>
      </c>
      <c r="G317" s="732">
        <f t="shared" si="22"/>
        <v>0</v>
      </c>
      <c r="H317" s="790">
        <f>+J269*G317+E317</f>
        <v>0</v>
      </c>
      <c r="I317" s="791">
        <f>+J270*G317+E317</f>
        <v>0</v>
      </c>
      <c r="J317" s="788">
        <f t="shared" si="24"/>
        <v>0</v>
      </c>
      <c r="K317" s="788"/>
      <c r="L317" s="1310"/>
      <c r="M317" s="788">
        <f t="shared" si="18"/>
        <v>0</v>
      </c>
      <c r="N317" s="1310"/>
      <c r="O317" s="788">
        <f t="shared" si="19"/>
        <v>0</v>
      </c>
      <c r="P317" s="788">
        <f t="shared" si="20"/>
        <v>0</v>
      </c>
    </row>
    <row r="318" spans="3:16">
      <c r="C318" s="784">
        <f>IF(D268="","-",+C317+1)</f>
        <v>2057</v>
      </c>
      <c r="D318" s="732">
        <f t="shared" si="21"/>
        <v>0</v>
      </c>
      <c r="E318" s="785">
        <f t="shared" si="23"/>
        <v>0</v>
      </c>
      <c r="F318" s="785">
        <f t="shared" si="17"/>
        <v>0</v>
      </c>
      <c r="G318" s="732">
        <f t="shared" si="22"/>
        <v>0</v>
      </c>
      <c r="H318" s="790">
        <f>+J269*G318+E318</f>
        <v>0</v>
      </c>
      <c r="I318" s="791">
        <f>+J270*G318+E318</f>
        <v>0</v>
      </c>
      <c r="J318" s="788">
        <f t="shared" si="24"/>
        <v>0</v>
      </c>
      <c r="K318" s="788"/>
      <c r="L318" s="1310"/>
      <c r="M318" s="788">
        <f t="shared" si="18"/>
        <v>0</v>
      </c>
      <c r="N318" s="1310"/>
      <c r="O318" s="788">
        <f t="shared" si="19"/>
        <v>0</v>
      </c>
      <c r="P318" s="788">
        <f t="shared" si="20"/>
        <v>0</v>
      </c>
    </row>
    <row r="319" spans="3:16">
      <c r="C319" s="784">
        <f>IF(D268="","-",+C318+1)</f>
        <v>2058</v>
      </c>
      <c r="D319" s="732">
        <f t="shared" si="21"/>
        <v>0</v>
      </c>
      <c r="E319" s="785">
        <f t="shared" si="23"/>
        <v>0</v>
      </c>
      <c r="F319" s="785">
        <f t="shared" si="17"/>
        <v>0</v>
      </c>
      <c r="G319" s="732">
        <f t="shared" si="22"/>
        <v>0</v>
      </c>
      <c r="H319" s="790">
        <f>+J269*G319+E319</f>
        <v>0</v>
      </c>
      <c r="I319" s="791">
        <f>+J270*G319+E319</f>
        <v>0</v>
      </c>
      <c r="J319" s="788">
        <f t="shared" si="24"/>
        <v>0</v>
      </c>
      <c r="K319" s="788"/>
      <c r="L319" s="1310"/>
      <c r="M319" s="788">
        <f t="shared" si="18"/>
        <v>0</v>
      </c>
      <c r="N319" s="1310"/>
      <c r="O319" s="788">
        <f t="shared" si="19"/>
        <v>0</v>
      </c>
      <c r="P319" s="788">
        <f t="shared" si="20"/>
        <v>0</v>
      </c>
    </row>
    <row r="320" spans="3:16">
      <c r="C320" s="784">
        <f>IF(D268="","-",+C319+1)</f>
        <v>2059</v>
      </c>
      <c r="D320" s="732">
        <f t="shared" si="21"/>
        <v>0</v>
      </c>
      <c r="E320" s="785">
        <f t="shared" si="23"/>
        <v>0</v>
      </c>
      <c r="F320" s="785">
        <f t="shared" si="17"/>
        <v>0</v>
      </c>
      <c r="G320" s="732">
        <f t="shared" si="22"/>
        <v>0</v>
      </c>
      <c r="H320" s="790">
        <f>+J269*G320+E320</f>
        <v>0</v>
      </c>
      <c r="I320" s="791">
        <f>+J270*G320+E320</f>
        <v>0</v>
      </c>
      <c r="J320" s="788">
        <f t="shared" si="24"/>
        <v>0</v>
      </c>
      <c r="K320" s="788"/>
      <c r="L320" s="1310"/>
      <c r="M320" s="788">
        <f t="shared" si="18"/>
        <v>0</v>
      </c>
      <c r="N320" s="1310"/>
      <c r="O320" s="788">
        <f t="shared" si="19"/>
        <v>0</v>
      </c>
      <c r="P320" s="788">
        <f t="shared" si="20"/>
        <v>0</v>
      </c>
    </row>
    <row r="321" spans="3:16">
      <c r="C321" s="784">
        <f>IF(D268="","-",+C320+1)</f>
        <v>2060</v>
      </c>
      <c r="D321" s="732">
        <f t="shared" si="21"/>
        <v>0</v>
      </c>
      <c r="E321" s="785">
        <f t="shared" si="23"/>
        <v>0</v>
      </c>
      <c r="F321" s="785">
        <f t="shared" si="17"/>
        <v>0</v>
      </c>
      <c r="G321" s="732">
        <f t="shared" si="22"/>
        <v>0</v>
      </c>
      <c r="H321" s="790">
        <f>+J269*G321+E321</f>
        <v>0</v>
      </c>
      <c r="I321" s="791">
        <f>+J270*G321+E321</f>
        <v>0</v>
      </c>
      <c r="J321" s="788">
        <f t="shared" si="24"/>
        <v>0</v>
      </c>
      <c r="K321" s="788"/>
      <c r="L321" s="1310"/>
      <c r="M321" s="788">
        <f t="shared" si="18"/>
        <v>0</v>
      </c>
      <c r="N321" s="1310"/>
      <c r="O321" s="788">
        <f t="shared" si="19"/>
        <v>0</v>
      </c>
      <c r="P321" s="788">
        <f t="shared" si="20"/>
        <v>0</v>
      </c>
    </row>
    <row r="322" spans="3:16">
      <c r="C322" s="784">
        <f>IF(D268="","-",+C321+1)</f>
        <v>2061</v>
      </c>
      <c r="D322" s="732">
        <f t="shared" si="21"/>
        <v>0</v>
      </c>
      <c r="E322" s="785">
        <f t="shared" si="23"/>
        <v>0</v>
      </c>
      <c r="F322" s="785">
        <f t="shared" si="17"/>
        <v>0</v>
      </c>
      <c r="G322" s="732">
        <f t="shared" si="22"/>
        <v>0</v>
      </c>
      <c r="H322" s="790">
        <f>+J269*G322+E322</f>
        <v>0</v>
      </c>
      <c r="I322" s="791">
        <f>+J270*G322+E322</f>
        <v>0</v>
      </c>
      <c r="J322" s="788">
        <f t="shared" si="24"/>
        <v>0</v>
      </c>
      <c r="K322" s="788"/>
      <c r="L322" s="1310"/>
      <c r="M322" s="788">
        <f t="shared" si="18"/>
        <v>0</v>
      </c>
      <c r="N322" s="1310"/>
      <c r="O322" s="788">
        <f t="shared" si="19"/>
        <v>0</v>
      </c>
      <c r="P322" s="788">
        <f t="shared" si="20"/>
        <v>0</v>
      </c>
    </row>
    <row r="323" spans="3:16">
      <c r="C323" s="784">
        <f>IF(D268="","-",+C322+1)</f>
        <v>2062</v>
      </c>
      <c r="D323" s="732">
        <f t="shared" si="21"/>
        <v>0</v>
      </c>
      <c r="E323" s="785">
        <f t="shared" si="23"/>
        <v>0</v>
      </c>
      <c r="F323" s="785">
        <f t="shared" si="17"/>
        <v>0</v>
      </c>
      <c r="G323" s="732">
        <f t="shared" si="22"/>
        <v>0</v>
      </c>
      <c r="H323" s="790">
        <f>+J269*G323+E323</f>
        <v>0</v>
      </c>
      <c r="I323" s="791">
        <f>+J270*G323+E323</f>
        <v>0</v>
      </c>
      <c r="J323" s="788">
        <f t="shared" si="24"/>
        <v>0</v>
      </c>
      <c r="K323" s="788"/>
      <c r="L323" s="1310"/>
      <c r="M323" s="788">
        <f t="shared" si="18"/>
        <v>0</v>
      </c>
      <c r="N323" s="1310"/>
      <c r="O323" s="788">
        <f t="shared" si="19"/>
        <v>0</v>
      </c>
      <c r="P323" s="788">
        <f t="shared" si="20"/>
        <v>0</v>
      </c>
    </row>
    <row r="324" spans="3:16">
      <c r="C324" s="784">
        <f>IF(D268="","-",+C323+1)</f>
        <v>2063</v>
      </c>
      <c r="D324" s="732">
        <f t="shared" si="21"/>
        <v>0</v>
      </c>
      <c r="E324" s="785">
        <f t="shared" si="23"/>
        <v>0</v>
      </c>
      <c r="F324" s="785">
        <f t="shared" si="17"/>
        <v>0</v>
      </c>
      <c r="G324" s="732">
        <f t="shared" si="22"/>
        <v>0</v>
      </c>
      <c r="H324" s="790">
        <f>+J269*G324+E324</f>
        <v>0</v>
      </c>
      <c r="I324" s="791">
        <f>+J270*G324+E324</f>
        <v>0</v>
      </c>
      <c r="J324" s="788">
        <f t="shared" si="24"/>
        <v>0</v>
      </c>
      <c r="K324" s="788"/>
      <c r="L324" s="1310"/>
      <c r="M324" s="788">
        <f t="shared" si="18"/>
        <v>0</v>
      </c>
      <c r="N324" s="1310"/>
      <c r="O324" s="788">
        <f t="shared" si="19"/>
        <v>0</v>
      </c>
      <c r="P324" s="788">
        <f t="shared" si="20"/>
        <v>0</v>
      </c>
    </row>
    <row r="325" spans="3:16">
      <c r="C325" s="784">
        <f>IF(D268="","-",+C324+1)</f>
        <v>2064</v>
      </c>
      <c r="D325" s="732">
        <f t="shared" si="21"/>
        <v>0</v>
      </c>
      <c r="E325" s="785">
        <f t="shared" si="23"/>
        <v>0</v>
      </c>
      <c r="F325" s="785">
        <f t="shared" si="17"/>
        <v>0</v>
      </c>
      <c r="G325" s="732">
        <f t="shared" si="22"/>
        <v>0</v>
      </c>
      <c r="H325" s="790">
        <f>+J269*G325+E325</f>
        <v>0</v>
      </c>
      <c r="I325" s="791">
        <f>+J270*G325+E325</f>
        <v>0</v>
      </c>
      <c r="J325" s="788">
        <f t="shared" si="24"/>
        <v>0</v>
      </c>
      <c r="K325" s="788"/>
      <c r="L325" s="1310"/>
      <c r="M325" s="788">
        <f t="shared" si="18"/>
        <v>0</v>
      </c>
      <c r="N325" s="1310"/>
      <c r="O325" s="788">
        <f t="shared" si="19"/>
        <v>0</v>
      </c>
      <c r="P325" s="788">
        <f t="shared" si="20"/>
        <v>0</v>
      </c>
    </row>
    <row r="326" spans="3:16">
      <c r="C326" s="784">
        <f>IF(D268="","-",+C325+1)</f>
        <v>2065</v>
      </c>
      <c r="D326" s="732">
        <f t="shared" si="21"/>
        <v>0</v>
      </c>
      <c r="E326" s="785">
        <f t="shared" si="23"/>
        <v>0</v>
      </c>
      <c r="F326" s="785">
        <f t="shared" si="17"/>
        <v>0</v>
      </c>
      <c r="G326" s="732">
        <f t="shared" si="22"/>
        <v>0</v>
      </c>
      <c r="H326" s="790">
        <f>+J269*G326+E326</f>
        <v>0</v>
      </c>
      <c r="I326" s="791">
        <f>+J270*G326+E326</f>
        <v>0</v>
      </c>
      <c r="J326" s="788">
        <f t="shared" si="24"/>
        <v>0</v>
      </c>
      <c r="K326" s="788"/>
      <c r="L326" s="1310"/>
      <c r="M326" s="788">
        <f t="shared" si="18"/>
        <v>0</v>
      </c>
      <c r="N326" s="1310"/>
      <c r="O326" s="788">
        <f t="shared" si="19"/>
        <v>0</v>
      </c>
      <c r="P326" s="788">
        <f t="shared" si="20"/>
        <v>0</v>
      </c>
    </row>
    <row r="327" spans="3:16">
      <c r="C327" s="784">
        <f>IF(D268="","-",+C326+1)</f>
        <v>2066</v>
      </c>
      <c r="D327" s="732">
        <f t="shared" si="21"/>
        <v>0</v>
      </c>
      <c r="E327" s="785">
        <f t="shared" si="23"/>
        <v>0</v>
      </c>
      <c r="F327" s="785">
        <f t="shared" si="17"/>
        <v>0</v>
      </c>
      <c r="G327" s="732">
        <f t="shared" si="22"/>
        <v>0</v>
      </c>
      <c r="H327" s="790">
        <f>+J269*G327+E327</f>
        <v>0</v>
      </c>
      <c r="I327" s="791">
        <f>+J270*G327+E327</f>
        <v>0</v>
      </c>
      <c r="J327" s="788">
        <f t="shared" si="24"/>
        <v>0</v>
      </c>
      <c r="K327" s="788"/>
      <c r="L327" s="1310"/>
      <c r="M327" s="788">
        <f t="shared" si="18"/>
        <v>0</v>
      </c>
      <c r="N327" s="1310"/>
      <c r="O327" s="788">
        <f t="shared" si="19"/>
        <v>0</v>
      </c>
      <c r="P327" s="788">
        <f t="shared" si="20"/>
        <v>0</v>
      </c>
    </row>
    <row r="328" spans="3:16">
      <c r="C328" s="784">
        <f>IF(D268="","-",+C327+1)</f>
        <v>2067</v>
      </c>
      <c r="D328" s="732">
        <f t="shared" ref="D328:D333" si="25">F327</f>
        <v>0</v>
      </c>
      <c r="E328" s="785">
        <f t="shared" si="23"/>
        <v>0</v>
      </c>
      <c r="F328" s="785">
        <f t="shared" si="17"/>
        <v>0</v>
      </c>
      <c r="G328" s="732">
        <f t="shared" si="22"/>
        <v>0</v>
      </c>
      <c r="H328" s="790">
        <f>+J269*G328+E328</f>
        <v>0</v>
      </c>
      <c r="I328" s="791">
        <f>+J270*G328+E328</f>
        <v>0</v>
      </c>
      <c r="J328" s="788">
        <f t="shared" si="24"/>
        <v>0</v>
      </c>
      <c r="K328" s="788"/>
      <c r="L328" s="1310"/>
      <c r="M328" s="788">
        <f t="shared" si="18"/>
        <v>0</v>
      </c>
      <c r="N328" s="1310"/>
      <c r="O328" s="788">
        <f t="shared" si="19"/>
        <v>0</v>
      </c>
      <c r="P328" s="788">
        <f t="shared" si="20"/>
        <v>0</v>
      </c>
    </row>
    <row r="329" spans="3:16">
      <c r="C329" s="784">
        <f>IF(D268="","-",+C328+1)</f>
        <v>2068</v>
      </c>
      <c r="D329" s="732">
        <f t="shared" si="25"/>
        <v>0</v>
      </c>
      <c r="E329" s="785">
        <f t="shared" si="23"/>
        <v>0</v>
      </c>
      <c r="F329" s="785">
        <f t="shared" si="17"/>
        <v>0</v>
      </c>
      <c r="G329" s="732">
        <f t="shared" si="22"/>
        <v>0</v>
      </c>
      <c r="H329" s="790">
        <f>+J269*G329+E329</f>
        <v>0</v>
      </c>
      <c r="I329" s="791">
        <f>+J270*G329+E329</f>
        <v>0</v>
      </c>
      <c r="J329" s="788">
        <f t="shared" si="24"/>
        <v>0</v>
      </c>
      <c r="K329" s="788"/>
      <c r="L329" s="1310"/>
      <c r="M329" s="788">
        <f t="shared" si="18"/>
        <v>0</v>
      </c>
      <c r="N329" s="1310"/>
      <c r="O329" s="788">
        <f t="shared" si="19"/>
        <v>0</v>
      </c>
      <c r="P329" s="788">
        <f t="shared" si="20"/>
        <v>0</v>
      </c>
    </row>
    <row r="330" spans="3:16">
      <c r="C330" s="784">
        <f>IF(D268="","-",+C329+1)</f>
        <v>2069</v>
      </c>
      <c r="D330" s="732">
        <f t="shared" si="25"/>
        <v>0</v>
      </c>
      <c r="E330" s="785">
        <f t="shared" si="23"/>
        <v>0</v>
      </c>
      <c r="F330" s="785">
        <f t="shared" si="17"/>
        <v>0</v>
      </c>
      <c r="G330" s="732">
        <f t="shared" si="22"/>
        <v>0</v>
      </c>
      <c r="H330" s="790">
        <f>+J269*G330+E330</f>
        <v>0</v>
      </c>
      <c r="I330" s="791">
        <f>+J270*G330+E330</f>
        <v>0</v>
      </c>
      <c r="J330" s="788">
        <f t="shared" si="24"/>
        <v>0</v>
      </c>
      <c r="K330" s="788"/>
      <c r="L330" s="1310"/>
      <c r="M330" s="788">
        <f t="shared" si="18"/>
        <v>0</v>
      </c>
      <c r="N330" s="1310"/>
      <c r="O330" s="788">
        <f t="shared" si="19"/>
        <v>0</v>
      </c>
      <c r="P330" s="788">
        <f t="shared" si="20"/>
        <v>0</v>
      </c>
    </row>
    <row r="331" spans="3:16">
      <c r="C331" s="784">
        <f>IF(D268="","-",+C330+1)</f>
        <v>2070</v>
      </c>
      <c r="D331" s="732">
        <f t="shared" si="25"/>
        <v>0</v>
      </c>
      <c r="E331" s="785">
        <f t="shared" si="23"/>
        <v>0</v>
      </c>
      <c r="F331" s="785">
        <f t="shared" si="17"/>
        <v>0</v>
      </c>
      <c r="G331" s="732">
        <f t="shared" si="22"/>
        <v>0</v>
      </c>
      <c r="H331" s="790">
        <f>+J269*G331+E331</f>
        <v>0</v>
      </c>
      <c r="I331" s="791">
        <f>+J270*G331+E331</f>
        <v>0</v>
      </c>
      <c r="J331" s="788">
        <f t="shared" si="24"/>
        <v>0</v>
      </c>
      <c r="K331" s="788"/>
      <c r="L331" s="1310"/>
      <c r="M331" s="788">
        <f t="shared" si="18"/>
        <v>0</v>
      </c>
      <c r="N331" s="1310"/>
      <c r="O331" s="788">
        <f t="shared" si="19"/>
        <v>0</v>
      </c>
      <c r="P331" s="788">
        <f t="shared" si="20"/>
        <v>0</v>
      </c>
    </row>
    <row r="332" spans="3:16">
      <c r="C332" s="784">
        <f>IF(D268="","-",+C331+1)</f>
        <v>2071</v>
      </c>
      <c r="D332" s="732">
        <f t="shared" si="25"/>
        <v>0</v>
      </c>
      <c r="E332" s="785">
        <f t="shared" si="23"/>
        <v>0</v>
      </c>
      <c r="F332" s="785">
        <f t="shared" si="17"/>
        <v>0</v>
      </c>
      <c r="G332" s="732">
        <f t="shared" si="22"/>
        <v>0</v>
      </c>
      <c r="H332" s="790">
        <f>+J269*G332+E332</f>
        <v>0</v>
      </c>
      <c r="I332" s="791">
        <f>+J270*G332+E332</f>
        <v>0</v>
      </c>
      <c r="J332" s="788">
        <f t="shared" si="24"/>
        <v>0</v>
      </c>
      <c r="K332" s="788"/>
      <c r="L332" s="1310"/>
      <c r="M332" s="788">
        <f t="shared" si="18"/>
        <v>0</v>
      </c>
      <c r="N332" s="1310"/>
      <c r="O332" s="788">
        <f t="shared" si="19"/>
        <v>0</v>
      </c>
      <c r="P332" s="788">
        <f t="shared" si="20"/>
        <v>0</v>
      </c>
    </row>
    <row r="333" spans="3:16" ht="13.5" thickBot="1">
      <c r="C333" s="794">
        <f>IF(D268="","-",+C332+1)</f>
        <v>2072</v>
      </c>
      <c r="D333" s="795">
        <f t="shared" si="25"/>
        <v>0</v>
      </c>
      <c r="E333" s="796">
        <f t="shared" si="23"/>
        <v>0</v>
      </c>
      <c r="F333" s="796">
        <f t="shared" si="17"/>
        <v>0</v>
      </c>
      <c r="G333" s="795">
        <f t="shared" si="22"/>
        <v>0</v>
      </c>
      <c r="H333" s="797">
        <f>+J269*G333+E333</f>
        <v>0</v>
      </c>
      <c r="I333" s="797">
        <f>+J270*G333+E333</f>
        <v>0</v>
      </c>
      <c r="J333" s="798">
        <f t="shared" si="24"/>
        <v>0</v>
      </c>
      <c r="K333" s="788"/>
      <c r="L333" s="1311"/>
      <c r="M333" s="798">
        <f t="shared" si="18"/>
        <v>0</v>
      </c>
      <c r="N333" s="1311"/>
      <c r="O333" s="798">
        <f t="shared" si="19"/>
        <v>0</v>
      </c>
      <c r="P333" s="798">
        <f t="shared" si="20"/>
        <v>0</v>
      </c>
    </row>
    <row r="334" spans="3:16">
      <c r="C334" s="732" t="s">
        <v>93</v>
      </c>
      <c r="D334" s="726"/>
      <c r="E334" s="726">
        <f>SUM(E274:E333)</f>
        <v>5805542.9999999991</v>
      </c>
      <c r="F334" s="726"/>
      <c r="G334" s="726"/>
      <c r="H334" s="726">
        <f>SUM(H274:H333)</f>
        <v>19569488.48485402</v>
      </c>
      <c r="I334" s="726">
        <f>SUM(I274:I333)</f>
        <v>19569488.48485402</v>
      </c>
      <c r="J334" s="726">
        <f>SUM(J274:J333)</f>
        <v>0</v>
      </c>
      <c r="K334" s="726"/>
      <c r="L334" s="726"/>
      <c r="M334" s="726"/>
      <c r="N334" s="726"/>
      <c r="O334" s="726"/>
    </row>
    <row r="335" spans="3:16">
      <c r="D335" s="534"/>
      <c r="E335" s="313"/>
      <c r="F335" s="313"/>
      <c r="G335" s="313"/>
      <c r="H335" s="313"/>
      <c r="I335" s="704"/>
      <c r="J335" s="704"/>
      <c r="K335" s="726"/>
      <c r="L335" s="704"/>
      <c r="M335" s="704"/>
      <c r="N335" s="704"/>
      <c r="O335" s="704"/>
    </row>
    <row r="336" spans="3:16">
      <c r="C336" s="313" t="s">
        <v>15</v>
      </c>
      <c r="D336" s="534"/>
      <c r="E336" s="313"/>
      <c r="F336" s="313"/>
      <c r="G336" s="313"/>
      <c r="H336" s="313"/>
      <c r="I336" s="704"/>
      <c r="J336" s="704"/>
      <c r="K336" s="726"/>
      <c r="L336" s="704"/>
      <c r="M336" s="704"/>
      <c r="N336" s="704"/>
      <c r="O336" s="704"/>
    </row>
    <row r="337" spans="1:17">
      <c r="C337" s="313"/>
      <c r="D337" s="534"/>
      <c r="E337" s="313"/>
      <c r="F337" s="313"/>
      <c r="G337" s="313"/>
      <c r="H337" s="313"/>
      <c r="I337" s="704"/>
      <c r="J337" s="704"/>
      <c r="K337" s="726"/>
      <c r="L337" s="704"/>
      <c r="M337" s="704"/>
      <c r="N337" s="704"/>
      <c r="O337" s="704"/>
    </row>
    <row r="338" spans="1:17">
      <c r="C338" s="745" t="s">
        <v>16</v>
      </c>
      <c r="D338" s="732"/>
      <c r="E338" s="732"/>
      <c r="F338" s="732"/>
      <c r="G338" s="732"/>
      <c r="H338" s="726"/>
      <c r="I338" s="726"/>
      <c r="J338" s="800"/>
      <c r="K338" s="800"/>
      <c r="L338" s="800"/>
      <c r="M338" s="800"/>
      <c r="N338" s="800"/>
      <c r="O338" s="800"/>
    </row>
    <row r="339" spans="1:17">
      <c r="C339" s="731" t="s">
        <v>273</v>
      </c>
      <c r="D339" s="732"/>
      <c r="E339" s="732"/>
      <c r="F339" s="732"/>
      <c r="G339" s="732"/>
      <c r="H339" s="726"/>
      <c r="I339" s="726"/>
      <c r="J339" s="800"/>
      <c r="K339" s="800"/>
      <c r="L339" s="800"/>
      <c r="M339" s="800"/>
      <c r="N339" s="800"/>
      <c r="O339" s="800"/>
    </row>
    <row r="340" spans="1:17">
      <c r="C340" s="731" t="s">
        <v>94</v>
      </c>
      <c r="D340" s="732"/>
      <c r="E340" s="732"/>
      <c r="F340" s="732"/>
      <c r="G340" s="732"/>
      <c r="H340" s="726"/>
      <c r="I340" s="726"/>
      <c r="J340" s="800"/>
      <c r="K340" s="800"/>
      <c r="L340" s="800"/>
      <c r="M340" s="800"/>
      <c r="N340" s="800"/>
      <c r="O340" s="800"/>
    </row>
    <row r="341" spans="1:17">
      <c r="C341" s="731"/>
      <c r="D341" s="732"/>
      <c r="E341" s="732"/>
      <c r="F341" s="732"/>
      <c r="G341" s="732"/>
      <c r="H341" s="726"/>
      <c r="I341" s="726"/>
      <c r="J341" s="800"/>
      <c r="K341" s="800"/>
      <c r="L341" s="800"/>
      <c r="M341" s="800"/>
      <c r="N341" s="800"/>
      <c r="O341" s="800"/>
    </row>
    <row r="342" spans="1:17" ht="20.25">
      <c r="A342" s="733" t="str">
        <f>""&amp;A265&amp;" Worksheet K -  ATRR TRUE-UP Calculation for PJM Projects Charged to Benefiting Zones"</f>
        <v xml:space="preserve"> Worksheet K -  ATRR TRUE-UP Calculation for PJM Projects Charged to Benefiting Zones</v>
      </c>
      <c r="B342" s="346"/>
      <c r="C342" s="721"/>
      <c r="D342" s="534"/>
      <c r="E342" s="313"/>
      <c r="F342" s="703"/>
      <c r="G342" s="703"/>
      <c r="H342" s="313"/>
      <c r="I342" s="704"/>
      <c r="L342" s="560"/>
      <c r="M342" s="560"/>
      <c r="N342" s="560"/>
      <c r="O342" s="649" t="str">
        <f>"Page "&amp;SUM(Q$8:Q342)&amp;" of "</f>
        <v xml:space="preserve">Page 4 of </v>
      </c>
      <c r="P342" s="650">
        <f>COUNT(Q$8:Q$56657)</f>
        <v>10</v>
      </c>
      <c r="Q342" s="173">
        <v>1</v>
      </c>
    </row>
    <row r="343" spans="1:17">
      <c r="B343" s="346"/>
      <c r="C343" s="313"/>
      <c r="D343" s="534"/>
      <c r="E343" s="313"/>
      <c r="F343" s="313"/>
      <c r="G343" s="313"/>
      <c r="H343" s="313"/>
      <c r="I343" s="704"/>
      <c r="J343" s="313"/>
      <c r="K343" s="423"/>
    </row>
    <row r="344" spans="1:17" ht="18">
      <c r="B344" s="653" t="s">
        <v>474</v>
      </c>
      <c r="C344" s="735" t="s">
        <v>95</v>
      </c>
      <c r="D344" s="534"/>
      <c r="E344" s="313"/>
      <c r="F344" s="313"/>
      <c r="G344" s="313"/>
      <c r="H344" s="313"/>
      <c r="I344" s="704"/>
      <c r="J344" s="704"/>
      <c r="K344" s="726"/>
      <c r="L344" s="704"/>
      <c r="M344" s="704"/>
      <c r="N344" s="704"/>
      <c r="O344" s="704"/>
    </row>
    <row r="345" spans="1:17" ht="18.75">
      <c r="B345" s="653"/>
      <c r="C345" s="652"/>
      <c r="D345" s="534"/>
      <c r="E345" s="313"/>
      <c r="F345" s="313"/>
      <c r="G345" s="313"/>
      <c r="H345" s="313"/>
      <c r="I345" s="704"/>
      <c r="J345" s="704"/>
      <c r="K345" s="726"/>
      <c r="L345" s="704"/>
      <c r="M345" s="704"/>
      <c r="N345" s="704"/>
      <c r="O345" s="704"/>
    </row>
    <row r="346" spans="1:17" ht="18.75">
      <c r="B346" s="653"/>
      <c r="C346" s="652" t="s">
        <v>96</v>
      </c>
      <c r="D346" s="534"/>
      <c r="E346" s="313"/>
      <c r="F346" s="313"/>
      <c r="G346" s="313"/>
      <c r="H346" s="313"/>
      <c r="I346" s="704"/>
      <c r="J346" s="704"/>
      <c r="K346" s="726"/>
      <c r="L346" s="704"/>
      <c r="M346" s="704"/>
      <c r="N346" s="704"/>
      <c r="O346" s="704"/>
    </row>
    <row r="347" spans="1:17" ht="15.75" thickBot="1">
      <c r="C347" s="240"/>
      <c r="D347" s="534"/>
      <c r="E347" s="313"/>
      <c r="F347" s="313"/>
      <c r="G347" s="313"/>
      <c r="H347" s="313"/>
      <c r="I347" s="704"/>
      <c r="J347" s="704"/>
      <c r="K347" s="726"/>
      <c r="L347" s="704"/>
      <c r="M347" s="704"/>
      <c r="N347" s="704"/>
      <c r="O347" s="704"/>
    </row>
    <row r="348" spans="1:17" ht="15.75">
      <c r="C348" s="655" t="s">
        <v>97</v>
      </c>
      <c r="D348" s="534"/>
      <c r="E348" s="313"/>
      <c r="F348" s="313"/>
      <c r="G348" s="313"/>
      <c r="H348" s="802"/>
      <c r="I348" s="313" t="s">
        <v>76</v>
      </c>
      <c r="J348" s="313"/>
      <c r="K348" s="423"/>
      <c r="L348" s="831">
        <f>+J354</f>
        <v>2021</v>
      </c>
      <c r="M348" s="812" t="s">
        <v>54</v>
      </c>
      <c r="N348" s="812" t="s">
        <v>55</v>
      </c>
      <c r="O348" s="813" t="s">
        <v>57</v>
      </c>
    </row>
    <row r="349" spans="1:17" ht="15.75">
      <c r="C349" s="655"/>
      <c r="D349" s="534"/>
      <c r="E349" s="313"/>
      <c r="F349" s="313"/>
      <c r="H349" s="313"/>
      <c r="I349" s="740"/>
      <c r="J349" s="740"/>
      <c r="K349" s="741"/>
      <c r="L349" s="832" t="s">
        <v>245</v>
      </c>
      <c r="M349" s="833">
        <f>VLOOKUP(J354,C361:P420,10)</f>
        <v>7012207.6163820876</v>
      </c>
      <c r="N349" s="833">
        <f>VLOOKUP(J354,C361:P420,12)</f>
        <v>7012207.6163820876</v>
      </c>
      <c r="O349" s="834">
        <f>+N349-M349</f>
        <v>0</v>
      </c>
    </row>
    <row r="350" spans="1:17" ht="12.95" customHeight="1">
      <c r="C350" s="745" t="s">
        <v>98</v>
      </c>
      <c r="D350" s="1557" t="s">
        <v>818</v>
      </c>
      <c r="E350" s="1557"/>
      <c r="F350" s="1557"/>
      <c r="G350" s="1557"/>
      <c r="H350" s="1557"/>
      <c r="I350" s="1557"/>
      <c r="J350" s="704"/>
      <c r="K350" s="726"/>
      <c r="L350" s="832" t="s">
        <v>246</v>
      </c>
      <c r="M350" s="835">
        <f>VLOOKUP(J354,C361:P420,6)</f>
        <v>7361040.7578075193</v>
      </c>
      <c r="N350" s="835">
        <f>VLOOKUP(J354,C361:P420,7)</f>
        <v>7361040.7578075193</v>
      </c>
      <c r="O350" s="836">
        <f>+N350-M350</f>
        <v>0</v>
      </c>
    </row>
    <row r="351" spans="1:17" ht="13.5" thickBot="1">
      <c r="C351" s="749"/>
      <c r="D351" s="1557"/>
      <c r="E351" s="1557"/>
      <c r="F351" s="1557"/>
      <c r="G351" s="1557"/>
      <c r="H351" s="1557"/>
      <c r="I351" s="1557"/>
      <c r="J351" s="704"/>
      <c r="K351" s="726"/>
      <c r="L351" s="768" t="s">
        <v>247</v>
      </c>
      <c r="M351" s="837">
        <f>+M350-M349</f>
        <v>348833.14142543171</v>
      </c>
      <c r="N351" s="837">
        <f>+N350-N349</f>
        <v>348833.14142543171</v>
      </c>
      <c r="O351" s="838">
        <f>+O350-O349</f>
        <v>0</v>
      </c>
    </row>
    <row r="352" spans="1:17" ht="13.5" thickBot="1">
      <c r="C352" s="752"/>
      <c r="D352" s="753"/>
      <c r="E352" s="751"/>
      <c r="F352" s="751"/>
      <c r="G352" s="751"/>
      <c r="H352" s="751"/>
      <c r="I352" s="751"/>
      <c r="J352" s="751"/>
      <c r="K352" s="754"/>
      <c r="L352" s="751"/>
      <c r="M352" s="751"/>
      <c r="N352" s="751"/>
      <c r="O352" s="751"/>
      <c r="P352" s="346"/>
    </row>
    <row r="353" spans="1:16" ht="13.5" thickBot="1">
      <c r="C353" s="755" t="s">
        <v>99</v>
      </c>
      <c r="D353" s="756"/>
      <c r="E353" s="1403"/>
      <c r="F353" s="1403"/>
      <c r="G353" s="1403"/>
      <c r="H353" s="1403"/>
      <c r="I353" s="1403"/>
      <c r="J353" s="1403"/>
      <c r="K353" s="758"/>
      <c r="P353" s="759"/>
    </row>
    <row r="354" spans="1:16" ht="15">
      <c r="A354" s="1340"/>
      <c r="C354" s="760" t="s">
        <v>77</v>
      </c>
      <c r="D354" s="804">
        <v>60573765.780000001</v>
      </c>
      <c r="E354" s="721" t="s">
        <v>78</v>
      </c>
      <c r="H354" s="761"/>
      <c r="I354" s="761"/>
      <c r="J354" s="762">
        <f>$J$93</f>
        <v>2021</v>
      </c>
      <c r="K354" s="550"/>
      <c r="L354" s="1558" t="s">
        <v>79</v>
      </c>
      <c r="M354" s="1558"/>
      <c r="N354" s="1558"/>
      <c r="O354" s="1558"/>
      <c r="P354" s="423"/>
    </row>
    <row r="355" spans="1:16">
      <c r="C355" s="760" t="s">
        <v>80</v>
      </c>
      <c r="D355" s="1307">
        <v>2014</v>
      </c>
      <c r="E355" s="760" t="s">
        <v>81</v>
      </c>
      <c r="F355" s="761"/>
      <c r="G355" s="761"/>
      <c r="I355" s="173"/>
      <c r="J355" s="806">
        <f>IF(H348="",0,$F$17)</f>
        <v>0</v>
      </c>
      <c r="K355" s="763"/>
      <c r="L355" s="726" t="s">
        <v>287</v>
      </c>
      <c r="P355" s="423"/>
    </row>
    <row r="356" spans="1:16">
      <c r="C356" s="760" t="s">
        <v>82</v>
      </c>
      <c r="D356" s="804">
        <v>10</v>
      </c>
      <c r="E356" s="760" t="s">
        <v>83</v>
      </c>
      <c r="F356" s="761"/>
      <c r="G356" s="761"/>
      <c r="I356" s="173"/>
      <c r="J356" s="764">
        <f>$F$70</f>
        <v>0.11565015966136639</v>
      </c>
      <c r="K356" s="765"/>
      <c r="L356" s="313" t="str">
        <f>"          INPUT TRUE-UP ARR (WITH &amp; WITHOUT INCENTIVES) FROM EACH PRIOR YEAR"</f>
        <v xml:space="preserve">          INPUT TRUE-UP ARR (WITH &amp; WITHOUT INCENTIVES) FROM EACH PRIOR YEAR</v>
      </c>
      <c r="P356" s="423"/>
    </row>
    <row r="357" spans="1:16">
      <c r="C357" s="760" t="s">
        <v>84</v>
      </c>
      <c r="D357" s="766">
        <f>H$79</f>
        <v>39</v>
      </c>
      <c r="E357" s="760" t="s">
        <v>85</v>
      </c>
      <c r="F357" s="761"/>
      <c r="G357" s="761"/>
      <c r="I357" s="173"/>
      <c r="J357" s="764">
        <f>IF(H348="",+J356,$F$69)</f>
        <v>0.11565015966136639</v>
      </c>
      <c r="K357" s="767"/>
      <c r="L357" s="313" t="s">
        <v>167</v>
      </c>
      <c r="M357" s="767"/>
      <c r="N357" s="767"/>
      <c r="O357" s="767"/>
      <c r="P357" s="423"/>
    </row>
    <row r="358" spans="1:16" ht="13.5" thickBot="1">
      <c r="C358" s="760" t="s">
        <v>86</v>
      </c>
      <c r="D358" s="1331" t="s">
        <v>814</v>
      </c>
      <c r="E358" s="768" t="s">
        <v>87</v>
      </c>
      <c r="F358" s="769"/>
      <c r="G358" s="769"/>
      <c r="H358" s="770"/>
      <c r="I358" s="770"/>
      <c r="J358" s="748">
        <f>IF(D354=0,0,D354/D357)</f>
        <v>1553173.4815384615</v>
      </c>
      <c r="K358" s="726"/>
      <c r="L358" s="726" t="s">
        <v>168</v>
      </c>
      <c r="M358" s="726"/>
      <c r="N358" s="726"/>
      <c r="O358" s="726"/>
      <c r="P358" s="423"/>
    </row>
    <row r="359" spans="1:16" ht="38.25">
      <c r="B359" s="841"/>
      <c r="C359" s="771" t="s">
        <v>77</v>
      </c>
      <c r="D359" s="772" t="s">
        <v>88</v>
      </c>
      <c r="E359" s="773" t="s">
        <v>89</v>
      </c>
      <c r="F359" s="772" t="s">
        <v>90</v>
      </c>
      <c r="G359" s="772" t="s">
        <v>248</v>
      </c>
      <c r="H359" s="773" t="s">
        <v>161</v>
      </c>
      <c r="I359" s="774" t="s">
        <v>161</v>
      </c>
      <c r="J359" s="771" t="s">
        <v>100</v>
      </c>
      <c r="K359" s="775"/>
      <c r="L359" s="773" t="s">
        <v>163</v>
      </c>
      <c r="M359" s="773" t="s">
        <v>169</v>
      </c>
      <c r="N359" s="773" t="s">
        <v>163</v>
      </c>
      <c r="O359" s="773" t="s">
        <v>171</v>
      </c>
      <c r="P359" s="773" t="s">
        <v>91</v>
      </c>
    </row>
    <row r="360" spans="1:16" ht="13.5" thickBot="1">
      <c r="C360" s="777" t="s">
        <v>477</v>
      </c>
      <c r="D360" s="778" t="s">
        <v>478</v>
      </c>
      <c r="E360" s="777" t="s">
        <v>371</v>
      </c>
      <c r="F360" s="778" t="s">
        <v>478</v>
      </c>
      <c r="G360" s="778" t="s">
        <v>478</v>
      </c>
      <c r="H360" s="779" t="s">
        <v>103</v>
      </c>
      <c r="I360" s="780" t="s">
        <v>105</v>
      </c>
      <c r="J360" s="781" t="s">
        <v>17</v>
      </c>
      <c r="K360" s="782"/>
      <c r="L360" s="779" t="s">
        <v>92</v>
      </c>
      <c r="M360" s="779" t="s">
        <v>92</v>
      </c>
      <c r="N360" s="779" t="s">
        <v>265</v>
      </c>
      <c r="O360" s="779" t="s">
        <v>265</v>
      </c>
      <c r="P360" s="779" t="s">
        <v>265</v>
      </c>
    </row>
    <row r="361" spans="1:16">
      <c r="C361" s="784">
        <f>IF(D355= "","-",D355)</f>
        <v>2014</v>
      </c>
      <c r="D361" s="732">
        <f>+D354</f>
        <v>60573765.780000001</v>
      </c>
      <c r="E361" s="790">
        <f>+J358/12*(12-D356)</f>
        <v>258862.24692307692</v>
      </c>
      <c r="F361" s="839">
        <f t="shared" ref="F361:F420" si="26">+D361-E361</f>
        <v>60314903.533076927</v>
      </c>
      <c r="G361" s="732">
        <f>+(D361+F361)/2</f>
        <v>60444334.656538464</v>
      </c>
      <c r="H361" s="786">
        <f>+J356*G361+E361</f>
        <v>7249259.200576812</v>
      </c>
      <c r="I361" s="787">
        <f>+J357*G361+E361</f>
        <v>7249259.200576812</v>
      </c>
      <c r="J361" s="788">
        <f>+I361-H361</f>
        <v>0</v>
      </c>
      <c r="K361" s="788"/>
      <c r="L361" s="1309">
        <v>0</v>
      </c>
      <c r="M361" s="840">
        <f t="shared" ref="M361:M420" si="27">IF(L361&lt;&gt;0,+H361-L361,0)</f>
        <v>0</v>
      </c>
      <c r="N361" s="1309">
        <v>0</v>
      </c>
      <c r="O361" s="840">
        <f t="shared" ref="O361:O420" si="28">IF(N361&lt;&gt;0,+I361-N361,0)</f>
        <v>0</v>
      </c>
      <c r="P361" s="840">
        <f t="shared" ref="P361:P420" si="29">+O361-M361</f>
        <v>0</v>
      </c>
    </row>
    <row r="362" spans="1:16">
      <c r="C362" s="784">
        <f>IF(D355="","-",+C361+1)</f>
        <v>2015</v>
      </c>
      <c r="D362" s="732">
        <f t="shared" ref="D362:D414" si="30">F361</f>
        <v>60314903.533076927</v>
      </c>
      <c r="E362" s="785">
        <f>IF(D362&gt;$J$358,$J$358,D362)</f>
        <v>1553173.4815384615</v>
      </c>
      <c r="F362" s="785">
        <f t="shared" si="26"/>
        <v>58761730.051538467</v>
      </c>
      <c r="G362" s="732">
        <f t="shared" ref="G362:G420" si="31">+(D362+F362)/2</f>
        <v>59538316.792307697</v>
      </c>
      <c r="H362" s="790">
        <f>+J356*G362+E362</f>
        <v>8438789.3245378584</v>
      </c>
      <c r="I362" s="791">
        <f>+J357*G362+E362</f>
        <v>8438789.3245378584</v>
      </c>
      <c r="J362" s="788">
        <f>+I362-H362</f>
        <v>0</v>
      </c>
      <c r="K362" s="788"/>
      <c r="L362" s="1310">
        <v>1745562</v>
      </c>
      <c r="M362" s="788">
        <f t="shared" si="27"/>
        <v>6693227.3245378584</v>
      </c>
      <c r="N362" s="1310">
        <v>1745562</v>
      </c>
      <c r="O362" s="788">
        <f t="shared" si="28"/>
        <v>6693227.3245378584</v>
      </c>
      <c r="P362" s="788">
        <f t="shared" si="29"/>
        <v>0</v>
      </c>
    </row>
    <row r="363" spans="1:16">
      <c r="C363" s="784">
        <f>IF(D355="","-",+C362+1)</f>
        <v>2016</v>
      </c>
      <c r="D363" s="732">
        <f t="shared" si="30"/>
        <v>58761730.051538467</v>
      </c>
      <c r="E363" s="785">
        <f t="shared" ref="E363:E420" si="32">IF(D363&gt;$J$358,$J$358,D363)</f>
        <v>1553173.4815384615</v>
      </c>
      <c r="F363" s="785">
        <f t="shared" si="26"/>
        <v>57208556.570000008</v>
      </c>
      <c r="G363" s="732">
        <f t="shared" si="31"/>
        <v>57985143.310769238</v>
      </c>
      <c r="H363" s="790">
        <f>+J356*G363+E363</f>
        <v>8259164.5634161355</v>
      </c>
      <c r="I363" s="791">
        <f>+J357*G363+E363</f>
        <v>8259164.5634161355</v>
      </c>
      <c r="J363" s="788">
        <f t="shared" ref="J363:J420" si="33">+I363-H363</f>
        <v>0</v>
      </c>
      <c r="K363" s="788"/>
      <c r="L363" s="1310">
        <v>1596924</v>
      </c>
      <c r="M363" s="788">
        <f t="shared" si="27"/>
        <v>6662240.5634161355</v>
      </c>
      <c r="N363" s="1310">
        <v>1596924</v>
      </c>
      <c r="O363" s="788">
        <f t="shared" si="28"/>
        <v>6662240.5634161355</v>
      </c>
      <c r="P363" s="788">
        <f t="shared" si="29"/>
        <v>0</v>
      </c>
    </row>
    <row r="364" spans="1:16">
      <c r="C364" s="784">
        <f>IF(D355="","-",+C363+1)</f>
        <v>2017</v>
      </c>
      <c r="D364" s="732">
        <f t="shared" si="30"/>
        <v>57208556.570000008</v>
      </c>
      <c r="E364" s="785">
        <f t="shared" si="32"/>
        <v>1553173.4815384615</v>
      </c>
      <c r="F364" s="785">
        <f t="shared" si="26"/>
        <v>55655383.088461548</v>
      </c>
      <c r="G364" s="732">
        <f t="shared" si="31"/>
        <v>56431969.829230778</v>
      </c>
      <c r="H364" s="790">
        <f>+J356*G364+E364</f>
        <v>8079539.8022944126</v>
      </c>
      <c r="I364" s="791">
        <f>+J357*G364+E364</f>
        <v>8079539.8022944126</v>
      </c>
      <c r="J364" s="788">
        <f t="shared" si="33"/>
        <v>0</v>
      </c>
      <c r="K364" s="788"/>
      <c r="L364" s="1310">
        <v>8620533</v>
      </c>
      <c r="M364" s="788">
        <f t="shared" si="27"/>
        <v>-540993.19770558737</v>
      </c>
      <c r="N364" s="1310">
        <v>8620533</v>
      </c>
      <c r="O364" s="788">
        <f t="shared" si="28"/>
        <v>-540993.19770558737</v>
      </c>
      <c r="P364" s="788">
        <f t="shared" si="29"/>
        <v>0</v>
      </c>
    </row>
    <row r="365" spans="1:16">
      <c r="C365" s="784">
        <f>IF(D355="","-",+C364+1)</f>
        <v>2018</v>
      </c>
      <c r="D365" s="1402">
        <f t="shared" si="30"/>
        <v>55655383.088461548</v>
      </c>
      <c r="E365" s="785">
        <f t="shared" si="32"/>
        <v>1553173.4815384615</v>
      </c>
      <c r="F365" s="785">
        <f t="shared" si="26"/>
        <v>54102209.606923088</v>
      </c>
      <c r="G365" s="732">
        <f t="shared" si="31"/>
        <v>54878796.347692318</v>
      </c>
      <c r="H365" s="790">
        <f>+J356*G365+E365</f>
        <v>7899915.0411726888</v>
      </c>
      <c r="I365" s="791">
        <f>+J357*G365+E365</f>
        <v>7899915.0411726888</v>
      </c>
      <c r="J365" s="788">
        <f t="shared" si="33"/>
        <v>0</v>
      </c>
      <c r="K365" s="788"/>
      <c r="L365" s="1310">
        <v>6863859</v>
      </c>
      <c r="M365" s="788">
        <f t="shared" si="27"/>
        <v>1036056.0411726888</v>
      </c>
      <c r="N365" s="1310">
        <v>6863859</v>
      </c>
      <c r="O365" s="788">
        <f t="shared" si="28"/>
        <v>1036056.0411726888</v>
      </c>
      <c r="P365" s="788">
        <f t="shared" si="29"/>
        <v>0</v>
      </c>
    </row>
    <row r="366" spans="1:16">
      <c r="C366" s="784">
        <f>IF(D355="","-",+C365+1)</f>
        <v>2019</v>
      </c>
      <c r="D366" s="1332">
        <f t="shared" si="30"/>
        <v>54102209.606923088</v>
      </c>
      <c r="E366" s="785">
        <f t="shared" si="32"/>
        <v>1553173.4815384615</v>
      </c>
      <c r="F366" s="785">
        <f t="shared" si="26"/>
        <v>52549036.125384629</v>
      </c>
      <c r="G366" s="732">
        <f t="shared" si="31"/>
        <v>53325622.866153859</v>
      </c>
      <c r="H366" s="790">
        <f>+J356*G366+E366</f>
        <v>7720290.280050966</v>
      </c>
      <c r="I366" s="791">
        <f>+J357*G366+E366</f>
        <v>7720290.280050966</v>
      </c>
      <c r="J366" s="788">
        <f t="shared" si="33"/>
        <v>0</v>
      </c>
      <c r="K366" s="788"/>
      <c r="L366" s="1310">
        <v>7470796</v>
      </c>
      <c r="M366" s="788">
        <f t="shared" si="27"/>
        <v>249494.28005096596</v>
      </c>
      <c r="N366" s="1310">
        <v>7470796</v>
      </c>
      <c r="O366" s="788">
        <f t="shared" si="28"/>
        <v>249494.28005096596</v>
      </c>
      <c r="P366" s="788">
        <f t="shared" si="29"/>
        <v>0</v>
      </c>
    </row>
    <row r="367" spans="1:16">
      <c r="C367" s="784">
        <f>IF(D355="","-",+C366+1)</f>
        <v>2020</v>
      </c>
      <c r="D367" s="1332">
        <f t="shared" si="30"/>
        <v>52549036.125384629</v>
      </c>
      <c r="E367" s="785">
        <f t="shared" si="32"/>
        <v>1553173.4815384615</v>
      </c>
      <c r="F367" s="785">
        <f t="shared" si="26"/>
        <v>50995862.643846169</v>
      </c>
      <c r="G367" s="732">
        <f t="shared" si="31"/>
        <v>51772449.384615399</v>
      </c>
      <c r="H367" s="790">
        <f>+J356*G367+E367</f>
        <v>7540665.5189292431</v>
      </c>
      <c r="I367" s="791">
        <f>+J357*G367+E367</f>
        <v>7540665.5189292431</v>
      </c>
      <c r="J367" s="788">
        <f t="shared" si="33"/>
        <v>0</v>
      </c>
      <c r="K367" s="788"/>
      <c r="L367" s="1310">
        <v>7563743.814107067</v>
      </c>
      <c r="M367" s="788">
        <f t="shared" si="27"/>
        <v>-23078.295177823864</v>
      </c>
      <c r="N367" s="1310">
        <v>7563743.814107067</v>
      </c>
      <c r="O367" s="788">
        <f t="shared" si="28"/>
        <v>-23078.295177823864</v>
      </c>
      <c r="P367" s="788">
        <f t="shared" si="29"/>
        <v>0</v>
      </c>
    </row>
    <row r="368" spans="1:16">
      <c r="C368" s="784">
        <f>IF(D355="","-",+C367+1)</f>
        <v>2021</v>
      </c>
      <c r="D368" s="732">
        <f t="shared" si="30"/>
        <v>50995862.643846169</v>
      </c>
      <c r="E368" s="785">
        <f t="shared" si="32"/>
        <v>1553173.4815384615</v>
      </c>
      <c r="F368" s="785">
        <f t="shared" si="26"/>
        <v>49442689.162307709</v>
      </c>
      <c r="G368" s="732">
        <f t="shared" si="31"/>
        <v>50219275.903076939</v>
      </c>
      <c r="H368" s="790">
        <f>+J356*G368+E368</f>
        <v>7361040.7578075193</v>
      </c>
      <c r="I368" s="791">
        <f>+J357*G368+E368</f>
        <v>7361040.7578075193</v>
      </c>
      <c r="J368" s="788">
        <f t="shared" si="33"/>
        <v>0</v>
      </c>
      <c r="K368" s="788"/>
      <c r="L368" s="1310">
        <v>7012207.6163820876</v>
      </c>
      <c r="M368" s="788">
        <f t="shared" si="27"/>
        <v>348833.14142543171</v>
      </c>
      <c r="N368" s="1310">
        <v>7012207.6163820876</v>
      </c>
      <c r="O368" s="788">
        <f t="shared" si="28"/>
        <v>348833.14142543171</v>
      </c>
      <c r="P368" s="788">
        <f t="shared" si="29"/>
        <v>0</v>
      </c>
    </row>
    <row r="369" spans="3:16">
      <c r="C369" s="784">
        <f>IF(D355="","-",+C368+1)</f>
        <v>2022</v>
      </c>
      <c r="D369" s="732">
        <f t="shared" si="30"/>
        <v>49442689.162307709</v>
      </c>
      <c r="E369" s="785">
        <f t="shared" si="32"/>
        <v>1553173.4815384615</v>
      </c>
      <c r="F369" s="785">
        <f t="shared" si="26"/>
        <v>47889515.68076925</v>
      </c>
      <c r="G369" s="732">
        <f t="shared" si="31"/>
        <v>48666102.42153848</v>
      </c>
      <c r="H369" s="790">
        <f>+J356*G369+E369</f>
        <v>7181415.9966857964</v>
      </c>
      <c r="I369" s="791">
        <f>+J357*G369+E369</f>
        <v>7181415.9966857964</v>
      </c>
      <c r="J369" s="788">
        <f t="shared" si="33"/>
        <v>0</v>
      </c>
      <c r="K369" s="788"/>
      <c r="L369" s="1310"/>
      <c r="M369" s="788">
        <f t="shared" si="27"/>
        <v>0</v>
      </c>
      <c r="N369" s="1310"/>
      <c r="O369" s="788">
        <f t="shared" si="28"/>
        <v>0</v>
      </c>
      <c r="P369" s="788">
        <f t="shared" si="29"/>
        <v>0</v>
      </c>
    </row>
    <row r="370" spans="3:16">
      <c r="C370" s="784">
        <f>IF(D355="","-",+C369+1)</f>
        <v>2023</v>
      </c>
      <c r="D370" s="732">
        <f t="shared" si="30"/>
        <v>47889515.68076925</v>
      </c>
      <c r="E370" s="785">
        <f t="shared" si="32"/>
        <v>1553173.4815384615</v>
      </c>
      <c r="F370" s="785">
        <f t="shared" si="26"/>
        <v>46336342.19923079</v>
      </c>
      <c r="G370" s="732">
        <f t="shared" si="31"/>
        <v>47112928.94000002</v>
      </c>
      <c r="H370" s="790">
        <f>+J356*G370+E370</f>
        <v>7001791.2355640735</v>
      </c>
      <c r="I370" s="791">
        <f>+J357*G370+E370</f>
        <v>7001791.2355640735</v>
      </c>
      <c r="J370" s="788">
        <f t="shared" si="33"/>
        <v>0</v>
      </c>
      <c r="K370" s="788"/>
      <c r="L370" s="1310"/>
      <c r="M370" s="788">
        <f t="shared" si="27"/>
        <v>0</v>
      </c>
      <c r="N370" s="1310"/>
      <c r="O370" s="788">
        <f t="shared" si="28"/>
        <v>0</v>
      </c>
      <c r="P370" s="788">
        <f t="shared" si="29"/>
        <v>0</v>
      </c>
    </row>
    <row r="371" spans="3:16">
      <c r="C371" s="784">
        <f>IF(D355="","-",+C370+1)</f>
        <v>2024</v>
      </c>
      <c r="D371" s="732">
        <f t="shared" si="30"/>
        <v>46336342.19923079</v>
      </c>
      <c r="E371" s="785">
        <f t="shared" si="32"/>
        <v>1553173.4815384615</v>
      </c>
      <c r="F371" s="785">
        <f t="shared" si="26"/>
        <v>44783168.71769233</v>
      </c>
      <c r="G371" s="732">
        <f t="shared" si="31"/>
        <v>45559755.45846156</v>
      </c>
      <c r="H371" s="790">
        <f>+J356*G371+E371</f>
        <v>6822166.4744423497</v>
      </c>
      <c r="I371" s="791">
        <f>+J357*G371+E371</f>
        <v>6822166.4744423497</v>
      </c>
      <c r="J371" s="788">
        <f t="shared" si="33"/>
        <v>0</v>
      </c>
      <c r="K371" s="788"/>
      <c r="L371" s="1310"/>
      <c r="M371" s="788">
        <f t="shared" si="27"/>
        <v>0</v>
      </c>
      <c r="N371" s="1310"/>
      <c r="O371" s="788">
        <f t="shared" si="28"/>
        <v>0</v>
      </c>
      <c r="P371" s="788">
        <f t="shared" si="29"/>
        <v>0</v>
      </c>
    </row>
    <row r="372" spans="3:16">
      <c r="C372" s="784">
        <f>IF(D355="","-",+C371+1)</f>
        <v>2025</v>
      </c>
      <c r="D372" s="732">
        <f t="shared" si="30"/>
        <v>44783168.71769233</v>
      </c>
      <c r="E372" s="785">
        <f t="shared" si="32"/>
        <v>1553173.4815384615</v>
      </c>
      <c r="F372" s="785">
        <f t="shared" si="26"/>
        <v>43229995.236153871</v>
      </c>
      <c r="G372" s="732">
        <f t="shared" si="31"/>
        <v>44006581.976923101</v>
      </c>
      <c r="H372" s="790">
        <f>+J356*G372+E372</f>
        <v>6642541.7133206269</v>
      </c>
      <c r="I372" s="791">
        <f>+J357*G372+E372</f>
        <v>6642541.7133206269</v>
      </c>
      <c r="J372" s="788">
        <f t="shared" si="33"/>
        <v>0</v>
      </c>
      <c r="K372" s="788"/>
      <c r="L372" s="1310"/>
      <c r="M372" s="788">
        <f t="shared" si="27"/>
        <v>0</v>
      </c>
      <c r="N372" s="1310"/>
      <c r="O372" s="788">
        <f t="shared" si="28"/>
        <v>0</v>
      </c>
      <c r="P372" s="788">
        <f t="shared" si="29"/>
        <v>0</v>
      </c>
    </row>
    <row r="373" spans="3:16">
      <c r="C373" s="784">
        <f>IF(D355="","-",+C372+1)</f>
        <v>2026</v>
      </c>
      <c r="D373" s="732">
        <f t="shared" si="30"/>
        <v>43229995.236153871</v>
      </c>
      <c r="E373" s="785">
        <f t="shared" si="32"/>
        <v>1553173.4815384615</v>
      </c>
      <c r="F373" s="785">
        <f t="shared" si="26"/>
        <v>41676821.754615411</v>
      </c>
      <c r="G373" s="732">
        <f t="shared" si="31"/>
        <v>42453408.495384641</v>
      </c>
      <c r="H373" s="790">
        <f>+J356*G373+E373</f>
        <v>6462916.952198904</v>
      </c>
      <c r="I373" s="791">
        <f>+J357*G373+E373</f>
        <v>6462916.952198904</v>
      </c>
      <c r="J373" s="788">
        <f t="shared" si="33"/>
        <v>0</v>
      </c>
      <c r="K373" s="788"/>
      <c r="L373" s="1310"/>
      <c r="M373" s="788">
        <f t="shared" si="27"/>
        <v>0</v>
      </c>
      <c r="N373" s="1310"/>
      <c r="O373" s="788">
        <f t="shared" si="28"/>
        <v>0</v>
      </c>
      <c r="P373" s="788">
        <f t="shared" si="29"/>
        <v>0</v>
      </c>
    </row>
    <row r="374" spans="3:16">
      <c r="C374" s="784">
        <f>IF(D355="","-",+C373+1)</f>
        <v>2027</v>
      </c>
      <c r="D374" s="732">
        <f t="shared" si="30"/>
        <v>41676821.754615411</v>
      </c>
      <c r="E374" s="785">
        <f t="shared" si="32"/>
        <v>1553173.4815384615</v>
      </c>
      <c r="F374" s="785">
        <f t="shared" si="26"/>
        <v>40123648.273076952</v>
      </c>
      <c r="G374" s="732">
        <f t="shared" si="31"/>
        <v>40900235.013846181</v>
      </c>
      <c r="H374" s="790">
        <f>+J356*G374+E374</f>
        <v>6283292.1910771802</v>
      </c>
      <c r="I374" s="791">
        <f>+J357*G374+E374</f>
        <v>6283292.1910771802</v>
      </c>
      <c r="J374" s="788">
        <f t="shared" si="33"/>
        <v>0</v>
      </c>
      <c r="K374" s="788"/>
      <c r="L374" s="1310"/>
      <c r="M374" s="788">
        <f t="shared" si="27"/>
        <v>0</v>
      </c>
      <c r="N374" s="1310"/>
      <c r="O374" s="788">
        <f t="shared" si="28"/>
        <v>0</v>
      </c>
      <c r="P374" s="788">
        <f t="shared" si="29"/>
        <v>0</v>
      </c>
    </row>
    <row r="375" spans="3:16">
      <c r="C375" s="784">
        <f>IF(D355="","-",+C374+1)</f>
        <v>2028</v>
      </c>
      <c r="D375" s="732">
        <f t="shared" si="30"/>
        <v>40123648.273076952</v>
      </c>
      <c r="E375" s="785">
        <f t="shared" si="32"/>
        <v>1553173.4815384615</v>
      </c>
      <c r="F375" s="785">
        <f t="shared" si="26"/>
        <v>38570474.791538492</v>
      </c>
      <c r="G375" s="732">
        <f t="shared" si="31"/>
        <v>39347061.532307722</v>
      </c>
      <c r="H375" s="790">
        <f>+J356*G375+E375</f>
        <v>6103667.4299554573</v>
      </c>
      <c r="I375" s="791">
        <f>+J357*G375+E375</f>
        <v>6103667.4299554573</v>
      </c>
      <c r="J375" s="788">
        <f t="shared" si="33"/>
        <v>0</v>
      </c>
      <c r="K375" s="788"/>
      <c r="L375" s="1310"/>
      <c r="M375" s="788">
        <f t="shared" si="27"/>
        <v>0</v>
      </c>
      <c r="N375" s="1310"/>
      <c r="O375" s="788">
        <f t="shared" si="28"/>
        <v>0</v>
      </c>
      <c r="P375" s="788">
        <f t="shared" si="29"/>
        <v>0</v>
      </c>
    </row>
    <row r="376" spans="3:16">
      <c r="C376" s="784">
        <f>IF(D355="","-",+C375+1)</f>
        <v>2029</v>
      </c>
      <c r="D376" s="732">
        <f t="shared" si="30"/>
        <v>38570474.791538492</v>
      </c>
      <c r="E376" s="785">
        <f t="shared" si="32"/>
        <v>1553173.4815384615</v>
      </c>
      <c r="F376" s="785">
        <f t="shared" si="26"/>
        <v>37017301.310000032</v>
      </c>
      <c r="G376" s="732">
        <f t="shared" si="31"/>
        <v>37793888.050769262</v>
      </c>
      <c r="H376" s="790">
        <f>+J356*G376+E376</f>
        <v>5924042.6688337345</v>
      </c>
      <c r="I376" s="791">
        <f>+J357*G376+E376</f>
        <v>5924042.6688337345</v>
      </c>
      <c r="J376" s="788">
        <f t="shared" si="33"/>
        <v>0</v>
      </c>
      <c r="K376" s="788"/>
      <c r="L376" s="1310"/>
      <c r="M376" s="788">
        <f t="shared" si="27"/>
        <v>0</v>
      </c>
      <c r="N376" s="1310"/>
      <c r="O376" s="788">
        <f t="shared" si="28"/>
        <v>0</v>
      </c>
      <c r="P376" s="788">
        <f t="shared" si="29"/>
        <v>0</v>
      </c>
    </row>
    <row r="377" spans="3:16">
      <c r="C377" s="784">
        <f>IF(D355="","-",+C376+1)</f>
        <v>2030</v>
      </c>
      <c r="D377" s="732">
        <f t="shared" si="30"/>
        <v>37017301.310000032</v>
      </c>
      <c r="E377" s="785">
        <f t="shared" si="32"/>
        <v>1553173.4815384615</v>
      </c>
      <c r="F377" s="785">
        <f t="shared" si="26"/>
        <v>35464127.828461573</v>
      </c>
      <c r="G377" s="732">
        <f t="shared" si="31"/>
        <v>36240714.569230802</v>
      </c>
      <c r="H377" s="790">
        <f>+J356*G377+E377</f>
        <v>5744417.9077120107</v>
      </c>
      <c r="I377" s="791">
        <f>+J357*G377+E377</f>
        <v>5744417.9077120107</v>
      </c>
      <c r="J377" s="788">
        <f t="shared" si="33"/>
        <v>0</v>
      </c>
      <c r="K377" s="788"/>
      <c r="L377" s="1310"/>
      <c r="M377" s="788">
        <f t="shared" si="27"/>
        <v>0</v>
      </c>
      <c r="N377" s="1310"/>
      <c r="O377" s="788">
        <f t="shared" si="28"/>
        <v>0</v>
      </c>
      <c r="P377" s="788">
        <f t="shared" si="29"/>
        <v>0</v>
      </c>
    </row>
    <row r="378" spans="3:16">
      <c r="C378" s="784">
        <f>IF(D355="","-",+C377+1)</f>
        <v>2031</v>
      </c>
      <c r="D378" s="732">
        <f t="shared" si="30"/>
        <v>35464127.828461573</v>
      </c>
      <c r="E378" s="785">
        <f t="shared" si="32"/>
        <v>1553173.4815384615</v>
      </c>
      <c r="F378" s="785">
        <f t="shared" si="26"/>
        <v>33910954.346923113</v>
      </c>
      <c r="G378" s="732">
        <f t="shared" si="31"/>
        <v>34687541.087692343</v>
      </c>
      <c r="H378" s="790">
        <f>+J356*G378+E378</f>
        <v>5564793.1465902878</v>
      </c>
      <c r="I378" s="791">
        <f>+J357*G378+E378</f>
        <v>5564793.1465902878</v>
      </c>
      <c r="J378" s="788">
        <f t="shared" si="33"/>
        <v>0</v>
      </c>
      <c r="K378" s="788"/>
      <c r="L378" s="1310"/>
      <c r="M378" s="788">
        <f t="shared" si="27"/>
        <v>0</v>
      </c>
      <c r="N378" s="1310"/>
      <c r="O378" s="788">
        <f t="shared" si="28"/>
        <v>0</v>
      </c>
      <c r="P378" s="788">
        <f t="shared" si="29"/>
        <v>0</v>
      </c>
    </row>
    <row r="379" spans="3:16">
      <c r="C379" s="784">
        <f>IF(D355="","-",+C378+1)</f>
        <v>2032</v>
      </c>
      <c r="D379" s="732">
        <f t="shared" si="30"/>
        <v>33910954.346923113</v>
      </c>
      <c r="E379" s="785">
        <f t="shared" si="32"/>
        <v>1553173.4815384615</v>
      </c>
      <c r="F379" s="785">
        <f t="shared" si="26"/>
        <v>32357780.865384653</v>
      </c>
      <c r="G379" s="732">
        <f t="shared" si="31"/>
        <v>33134367.606153883</v>
      </c>
      <c r="H379" s="790">
        <f>+J356*G379+E379</f>
        <v>5385168.3854685649</v>
      </c>
      <c r="I379" s="791">
        <f>+J357*G379+E379</f>
        <v>5385168.3854685649</v>
      </c>
      <c r="J379" s="788">
        <f t="shared" si="33"/>
        <v>0</v>
      </c>
      <c r="K379" s="788"/>
      <c r="L379" s="1310"/>
      <c r="M379" s="788">
        <f t="shared" si="27"/>
        <v>0</v>
      </c>
      <c r="N379" s="1310"/>
      <c r="O379" s="788">
        <f t="shared" si="28"/>
        <v>0</v>
      </c>
      <c r="P379" s="788">
        <f t="shared" si="29"/>
        <v>0</v>
      </c>
    </row>
    <row r="380" spans="3:16">
      <c r="C380" s="784">
        <f>IF(D355="","-",+C379+1)</f>
        <v>2033</v>
      </c>
      <c r="D380" s="732">
        <f t="shared" si="30"/>
        <v>32357780.865384653</v>
      </c>
      <c r="E380" s="785">
        <f t="shared" si="32"/>
        <v>1553173.4815384615</v>
      </c>
      <c r="F380" s="785">
        <f t="shared" si="26"/>
        <v>30804607.383846194</v>
      </c>
      <c r="G380" s="732">
        <f t="shared" si="31"/>
        <v>31581194.124615423</v>
      </c>
      <c r="H380" s="790">
        <f>+J356*G380+E380</f>
        <v>5205543.6243468411</v>
      </c>
      <c r="I380" s="791">
        <f>+J357*G380+E380</f>
        <v>5205543.6243468411</v>
      </c>
      <c r="J380" s="788">
        <f t="shared" si="33"/>
        <v>0</v>
      </c>
      <c r="K380" s="788"/>
      <c r="L380" s="1310"/>
      <c r="M380" s="788">
        <f t="shared" si="27"/>
        <v>0</v>
      </c>
      <c r="N380" s="1310"/>
      <c r="O380" s="788">
        <f t="shared" si="28"/>
        <v>0</v>
      </c>
      <c r="P380" s="788">
        <f t="shared" si="29"/>
        <v>0</v>
      </c>
    </row>
    <row r="381" spans="3:16">
      <c r="C381" s="784">
        <f>IF(D355="","-",+C380+1)</f>
        <v>2034</v>
      </c>
      <c r="D381" s="732">
        <f t="shared" si="30"/>
        <v>30804607.383846194</v>
      </c>
      <c r="E381" s="785">
        <f t="shared" si="32"/>
        <v>1553173.4815384615</v>
      </c>
      <c r="F381" s="785">
        <f t="shared" si="26"/>
        <v>29251433.902307734</v>
      </c>
      <c r="G381" s="732">
        <f t="shared" si="31"/>
        <v>30028020.643076964</v>
      </c>
      <c r="H381" s="790">
        <f>+J356*G381+E381</f>
        <v>5025918.8632251183</v>
      </c>
      <c r="I381" s="791">
        <f>+J357*G381+E381</f>
        <v>5025918.8632251183</v>
      </c>
      <c r="J381" s="788">
        <f t="shared" si="33"/>
        <v>0</v>
      </c>
      <c r="K381" s="788"/>
      <c r="L381" s="1310"/>
      <c r="M381" s="788">
        <f t="shared" si="27"/>
        <v>0</v>
      </c>
      <c r="N381" s="1310"/>
      <c r="O381" s="788">
        <f t="shared" si="28"/>
        <v>0</v>
      </c>
      <c r="P381" s="788">
        <f t="shared" si="29"/>
        <v>0</v>
      </c>
    </row>
    <row r="382" spans="3:16">
      <c r="C382" s="784">
        <f>IF(D355="","-",+C381+1)</f>
        <v>2035</v>
      </c>
      <c r="D382" s="732">
        <f t="shared" si="30"/>
        <v>29251433.902307734</v>
      </c>
      <c r="E382" s="785">
        <f t="shared" si="32"/>
        <v>1553173.4815384615</v>
      </c>
      <c r="F382" s="785">
        <f t="shared" si="26"/>
        <v>27698260.420769274</v>
      </c>
      <c r="G382" s="732">
        <f t="shared" si="31"/>
        <v>28474847.161538504</v>
      </c>
      <c r="H382" s="790">
        <f>+J356*G382+E382</f>
        <v>4846294.1021033954</v>
      </c>
      <c r="I382" s="791">
        <f>+J357*G382+E382</f>
        <v>4846294.1021033954</v>
      </c>
      <c r="J382" s="788">
        <f t="shared" si="33"/>
        <v>0</v>
      </c>
      <c r="K382" s="788"/>
      <c r="L382" s="1310"/>
      <c r="M382" s="788">
        <f t="shared" si="27"/>
        <v>0</v>
      </c>
      <c r="N382" s="1310"/>
      <c r="O382" s="788">
        <f t="shared" si="28"/>
        <v>0</v>
      </c>
      <c r="P382" s="788">
        <f t="shared" si="29"/>
        <v>0</v>
      </c>
    </row>
    <row r="383" spans="3:16">
      <c r="C383" s="784">
        <f>IF(D355="","-",+C382+1)</f>
        <v>2036</v>
      </c>
      <c r="D383" s="732">
        <f t="shared" si="30"/>
        <v>27698260.420769274</v>
      </c>
      <c r="E383" s="785">
        <f t="shared" si="32"/>
        <v>1553173.4815384615</v>
      </c>
      <c r="F383" s="785">
        <f t="shared" si="26"/>
        <v>26145086.939230815</v>
      </c>
      <c r="G383" s="732">
        <f t="shared" si="31"/>
        <v>26921673.680000044</v>
      </c>
      <c r="H383" s="790">
        <f>+J356*G383+E383</f>
        <v>4666669.3409816716</v>
      </c>
      <c r="I383" s="791">
        <f>+J357*G383+E383</f>
        <v>4666669.3409816716</v>
      </c>
      <c r="J383" s="788">
        <f t="shared" si="33"/>
        <v>0</v>
      </c>
      <c r="K383" s="788"/>
      <c r="L383" s="1310"/>
      <c r="M383" s="788">
        <f t="shared" si="27"/>
        <v>0</v>
      </c>
      <c r="N383" s="1310"/>
      <c r="O383" s="788">
        <f t="shared" si="28"/>
        <v>0</v>
      </c>
      <c r="P383" s="788">
        <f t="shared" si="29"/>
        <v>0</v>
      </c>
    </row>
    <row r="384" spans="3:16">
      <c r="C384" s="784">
        <f>IF(D355="","-",+C383+1)</f>
        <v>2037</v>
      </c>
      <c r="D384" s="732">
        <f t="shared" si="30"/>
        <v>26145086.939230815</v>
      </c>
      <c r="E384" s="785">
        <f t="shared" si="32"/>
        <v>1553173.4815384615</v>
      </c>
      <c r="F384" s="785">
        <f t="shared" si="26"/>
        <v>24591913.457692355</v>
      </c>
      <c r="G384" s="732">
        <f t="shared" si="31"/>
        <v>25368500.198461585</v>
      </c>
      <c r="H384" s="790">
        <f>+J356*G384+E384</f>
        <v>4487044.5798599487</v>
      </c>
      <c r="I384" s="791">
        <f>+J357*G384+E384</f>
        <v>4487044.5798599487</v>
      </c>
      <c r="J384" s="788">
        <f t="shared" si="33"/>
        <v>0</v>
      </c>
      <c r="K384" s="788"/>
      <c r="L384" s="1310"/>
      <c r="M384" s="788">
        <f t="shared" si="27"/>
        <v>0</v>
      </c>
      <c r="N384" s="1310"/>
      <c r="O384" s="788">
        <f t="shared" si="28"/>
        <v>0</v>
      </c>
      <c r="P384" s="788">
        <f t="shared" si="29"/>
        <v>0</v>
      </c>
    </row>
    <row r="385" spans="3:16">
      <c r="C385" s="784">
        <f>IF(D355="","-",+C384+1)</f>
        <v>2038</v>
      </c>
      <c r="D385" s="732">
        <f t="shared" si="30"/>
        <v>24591913.457692355</v>
      </c>
      <c r="E385" s="785">
        <f t="shared" si="32"/>
        <v>1553173.4815384615</v>
      </c>
      <c r="F385" s="785">
        <f t="shared" si="26"/>
        <v>23038739.976153895</v>
      </c>
      <c r="G385" s="732">
        <f t="shared" si="31"/>
        <v>23815326.716923125</v>
      </c>
      <c r="H385" s="790">
        <f>+J356*G385+E385</f>
        <v>4307419.8187382258</v>
      </c>
      <c r="I385" s="791">
        <f>+J357*G385+E385</f>
        <v>4307419.8187382258</v>
      </c>
      <c r="J385" s="788">
        <f t="shared" si="33"/>
        <v>0</v>
      </c>
      <c r="K385" s="788"/>
      <c r="L385" s="1310"/>
      <c r="M385" s="788">
        <f t="shared" si="27"/>
        <v>0</v>
      </c>
      <c r="N385" s="1310"/>
      <c r="O385" s="788">
        <f t="shared" si="28"/>
        <v>0</v>
      </c>
      <c r="P385" s="788">
        <f t="shared" si="29"/>
        <v>0</v>
      </c>
    </row>
    <row r="386" spans="3:16">
      <c r="C386" s="784">
        <f>IF(D355="","-",+C385+1)</f>
        <v>2039</v>
      </c>
      <c r="D386" s="732">
        <f t="shared" si="30"/>
        <v>23038739.976153895</v>
      </c>
      <c r="E386" s="785">
        <f t="shared" si="32"/>
        <v>1553173.4815384615</v>
      </c>
      <c r="F386" s="785">
        <f t="shared" si="26"/>
        <v>21485566.494615436</v>
      </c>
      <c r="G386" s="732">
        <f t="shared" si="31"/>
        <v>22262153.235384665</v>
      </c>
      <c r="H386" s="790">
        <f>+J356*G386+E386</f>
        <v>4127795.0576165025</v>
      </c>
      <c r="I386" s="791">
        <f>+J357*G386+E386</f>
        <v>4127795.0576165025</v>
      </c>
      <c r="J386" s="788">
        <f t="shared" si="33"/>
        <v>0</v>
      </c>
      <c r="K386" s="788"/>
      <c r="L386" s="1310"/>
      <c r="M386" s="788">
        <f t="shared" si="27"/>
        <v>0</v>
      </c>
      <c r="N386" s="1310"/>
      <c r="O386" s="788">
        <f t="shared" si="28"/>
        <v>0</v>
      </c>
      <c r="P386" s="788">
        <f t="shared" si="29"/>
        <v>0</v>
      </c>
    </row>
    <row r="387" spans="3:16">
      <c r="C387" s="784">
        <f>IF(D355="","-",+C386+1)</f>
        <v>2040</v>
      </c>
      <c r="D387" s="732">
        <f t="shared" si="30"/>
        <v>21485566.494615436</v>
      </c>
      <c r="E387" s="785">
        <f t="shared" si="32"/>
        <v>1553173.4815384615</v>
      </c>
      <c r="F387" s="785">
        <f t="shared" si="26"/>
        <v>19932393.013076976</v>
      </c>
      <c r="G387" s="732">
        <f t="shared" si="31"/>
        <v>20708979.753846206</v>
      </c>
      <c r="H387" s="790">
        <f>+J356*G387+E387</f>
        <v>3948170.2964947792</v>
      </c>
      <c r="I387" s="791">
        <f>+J357*G387+E387</f>
        <v>3948170.2964947792</v>
      </c>
      <c r="J387" s="788">
        <f t="shared" si="33"/>
        <v>0</v>
      </c>
      <c r="K387" s="788"/>
      <c r="L387" s="1310"/>
      <c r="M387" s="788">
        <f t="shared" si="27"/>
        <v>0</v>
      </c>
      <c r="N387" s="1310"/>
      <c r="O387" s="788">
        <f t="shared" si="28"/>
        <v>0</v>
      </c>
      <c r="P387" s="788">
        <f t="shared" si="29"/>
        <v>0</v>
      </c>
    </row>
    <row r="388" spans="3:16">
      <c r="C388" s="784">
        <f>IF(D355="","-",+C387+1)</f>
        <v>2041</v>
      </c>
      <c r="D388" s="732">
        <f t="shared" si="30"/>
        <v>19932393.013076976</v>
      </c>
      <c r="E388" s="785">
        <f t="shared" si="32"/>
        <v>1553173.4815384615</v>
      </c>
      <c r="F388" s="785">
        <f t="shared" si="26"/>
        <v>18379219.531538516</v>
      </c>
      <c r="G388" s="732">
        <f t="shared" si="31"/>
        <v>19155806.272307746</v>
      </c>
      <c r="H388" s="790">
        <f>+J356*G388+E388</f>
        <v>3768545.5353730563</v>
      </c>
      <c r="I388" s="791">
        <f>+J357*G388+E388</f>
        <v>3768545.5353730563</v>
      </c>
      <c r="J388" s="788">
        <f t="shared" si="33"/>
        <v>0</v>
      </c>
      <c r="K388" s="788"/>
      <c r="L388" s="1310"/>
      <c r="M388" s="788">
        <f t="shared" si="27"/>
        <v>0</v>
      </c>
      <c r="N388" s="1310"/>
      <c r="O388" s="788">
        <f t="shared" si="28"/>
        <v>0</v>
      </c>
      <c r="P388" s="788">
        <f t="shared" si="29"/>
        <v>0</v>
      </c>
    </row>
    <row r="389" spans="3:16">
      <c r="C389" s="784">
        <f>IF(D355="","-",+C388+1)</f>
        <v>2042</v>
      </c>
      <c r="D389" s="732">
        <f t="shared" si="30"/>
        <v>18379219.531538516</v>
      </c>
      <c r="E389" s="785">
        <f t="shared" si="32"/>
        <v>1553173.4815384615</v>
      </c>
      <c r="F389" s="785">
        <f t="shared" si="26"/>
        <v>16826046.050000057</v>
      </c>
      <c r="G389" s="732">
        <f t="shared" si="31"/>
        <v>17602632.790769286</v>
      </c>
      <c r="H389" s="790">
        <f>+J356*G389+E389</f>
        <v>3588920.774251333</v>
      </c>
      <c r="I389" s="791">
        <f>+J357*G389+E389</f>
        <v>3588920.774251333</v>
      </c>
      <c r="J389" s="788">
        <f t="shared" si="33"/>
        <v>0</v>
      </c>
      <c r="K389" s="788"/>
      <c r="L389" s="1310"/>
      <c r="M389" s="788">
        <f t="shared" si="27"/>
        <v>0</v>
      </c>
      <c r="N389" s="1310"/>
      <c r="O389" s="788">
        <f t="shared" si="28"/>
        <v>0</v>
      </c>
      <c r="P389" s="788">
        <f t="shared" si="29"/>
        <v>0</v>
      </c>
    </row>
    <row r="390" spans="3:16">
      <c r="C390" s="784">
        <f>IF(D355="","-",+C389+1)</f>
        <v>2043</v>
      </c>
      <c r="D390" s="732">
        <f t="shared" si="30"/>
        <v>16826046.050000057</v>
      </c>
      <c r="E390" s="785">
        <f t="shared" si="32"/>
        <v>1553173.4815384615</v>
      </c>
      <c r="F390" s="785">
        <f t="shared" si="26"/>
        <v>15272872.568461595</v>
      </c>
      <c r="G390" s="732">
        <f t="shared" si="31"/>
        <v>16049459.309230827</v>
      </c>
      <c r="H390" s="790">
        <f>+J356*G390+E390</f>
        <v>3409296.0131296096</v>
      </c>
      <c r="I390" s="791">
        <f>+J357*G390+E390</f>
        <v>3409296.0131296096</v>
      </c>
      <c r="J390" s="788">
        <f t="shared" si="33"/>
        <v>0</v>
      </c>
      <c r="K390" s="788"/>
      <c r="L390" s="1310"/>
      <c r="M390" s="788">
        <f t="shared" si="27"/>
        <v>0</v>
      </c>
      <c r="N390" s="1310"/>
      <c r="O390" s="788">
        <f t="shared" si="28"/>
        <v>0</v>
      </c>
      <c r="P390" s="788">
        <f t="shared" si="29"/>
        <v>0</v>
      </c>
    </row>
    <row r="391" spans="3:16">
      <c r="C391" s="784">
        <f>IF(D355="","-",+C390+1)</f>
        <v>2044</v>
      </c>
      <c r="D391" s="732">
        <f t="shared" si="30"/>
        <v>15272872.568461595</v>
      </c>
      <c r="E391" s="785">
        <f t="shared" si="32"/>
        <v>1553173.4815384615</v>
      </c>
      <c r="F391" s="785">
        <f t="shared" si="26"/>
        <v>13719699.086923134</v>
      </c>
      <c r="G391" s="732">
        <f t="shared" si="31"/>
        <v>14496285.827692363</v>
      </c>
      <c r="H391" s="790">
        <f>+J356*G391+E391</f>
        <v>3229671.2520078863</v>
      </c>
      <c r="I391" s="791">
        <f>+J357*G391+E391</f>
        <v>3229671.2520078863</v>
      </c>
      <c r="J391" s="788">
        <f t="shared" si="33"/>
        <v>0</v>
      </c>
      <c r="K391" s="788"/>
      <c r="L391" s="1310"/>
      <c r="M391" s="788">
        <f t="shared" si="27"/>
        <v>0</v>
      </c>
      <c r="N391" s="1310"/>
      <c r="O391" s="788">
        <f t="shared" si="28"/>
        <v>0</v>
      </c>
      <c r="P391" s="788">
        <f t="shared" si="29"/>
        <v>0</v>
      </c>
    </row>
    <row r="392" spans="3:16">
      <c r="C392" s="784">
        <f>IF(D355="","-",+C391+1)</f>
        <v>2045</v>
      </c>
      <c r="D392" s="732">
        <f t="shared" si="30"/>
        <v>13719699.086923134</v>
      </c>
      <c r="E392" s="785">
        <f t="shared" si="32"/>
        <v>1553173.4815384615</v>
      </c>
      <c r="F392" s="785">
        <f t="shared" si="26"/>
        <v>12166525.605384672</v>
      </c>
      <c r="G392" s="732">
        <f t="shared" si="31"/>
        <v>12943112.346153904</v>
      </c>
      <c r="H392" s="790">
        <f>+J356*G392+E392</f>
        <v>3050046.490886163</v>
      </c>
      <c r="I392" s="791">
        <f>+J357*G392+E392</f>
        <v>3050046.490886163</v>
      </c>
      <c r="J392" s="788">
        <f t="shared" si="33"/>
        <v>0</v>
      </c>
      <c r="K392" s="788"/>
      <c r="L392" s="1310"/>
      <c r="M392" s="788">
        <f t="shared" si="27"/>
        <v>0</v>
      </c>
      <c r="N392" s="1310"/>
      <c r="O392" s="788">
        <f t="shared" si="28"/>
        <v>0</v>
      </c>
      <c r="P392" s="788">
        <f t="shared" si="29"/>
        <v>0</v>
      </c>
    </row>
    <row r="393" spans="3:16">
      <c r="C393" s="784">
        <f>IF(D355="","-",+C392+1)</f>
        <v>2046</v>
      </c>
      <c r="D393" s="732">
        <f t="shared" si="30"/>
        <v>12166525.605384672</v>
      </c>
      <c r="E393" s="785">
        <f t="shared" si="32"/>
        <v>1553173.4815384615</v>
      </c>
      <c r="F393" s="785">
        <f t="shared" si="26"/>
        <v>10613352.123846211</v>
      </c>
      <c r="G393" s="732">
        <f t="shared" si="31"/>
        <v>11389938.86461544</v>
      </c>
      <c r="H393" s="790">
        <f>+J356*G393+E393</f>
        <v>2870421.7297644392</v>
      </c>
      <c r="I393" s="791">
        <f>+J357*G393+E393</f>
        <v>2870421.7297644392</v>
      </c>
      <c r="J393" s="788">
        <f t="shared" si="33"/>
        <v>0</v>
      </c>
      <c r="K393" s="788"/>
      <c r="L393" s="1310"/>
      <c r="M393" s="788">
        <f t="shared" si="27"/>
        <v>0</v>
      </c>
      <c r="N393" s="1310"/>
      <c r="O393" s="788">
        <f t="shared" si="28"/>
        <v>0</v>
      </c>
      <c r="P393" s="788">
        <f t="shared" si="29"/>
        <v>0</v>
      </c>
    </row>
    <row r="394" spans="3:16">
      <c r="C394" s="784">
        <f>IF(D355="","-",+C393+1)</f>
        <v>2047</v>
      </c>
      <c r="D394" s="732">
        <f t="shared" si="30"/>
        <v>10613352.123846211</v>
      </c>
      <c r="E394" s="785">
        <f t="shared" si="32"/>
        <v>1553173.4815384615</v>
      </c>
      <c r="F394" s="785">
        <f t="shared" si="26"/>
        <v>9060178.642307749</v>
      </c>
      <c r="G394" s="732">
        <f t="shared" si="31"/>
        <v>9836765.3830769807</v>
      </c>
      <c r="H394" s="790">
        <f>+J356*G394+E394</f>
        <v>2690796.9686427163</v>
      </c>
      <c r="I394" s="791">
        <f>+J357*G394+E394</f>
        <v>2690796.9686427163</v>
      </c>
      <c r="J394" s="788">
        <f t="shared" si="33"/>
        <v>0</v>
      </c>
      <c r="K394" s="788"/>
      <c r="L394" s="1310"/>
      <c r="M394" s="788">
        <f t="shared" si="27"/>
        <v>0</v>
      </c>
      <c r="N394" s="1310"/>
      <c r="O394" s="788">
        <f t="shared" si="28"/>
        <v>0</v>
      </c>
      <c r="P394" s="788">
        <f t="shared" si="29"/>
        <v>0</v>
      </c>
    </row>
    <row r="395" spans="3:16">
      <c r="C395" s="784">
        <f>IF(D355="","-",+C394+1)</f>
        <v>2048</v>
      </c>
      <c r="D395" s="732">
        <f t="shared" si="30"/>
        <v>9060178.642307749</v>
      </c>
      <c r="E395" s="785">
        <f t="shared" si="32"/>
        <v>1553173.4815384615</v>
      </c>
      <c r="F395" s="785">
        <f t="shared" si="26"/>
        <v>7507005.1607692875</v>
      </c>
      <c r="G395" s="732">
        <f t="shared" si="31"/>
        <v>8283591.9015385183</v>
      </c>
      <c r="H395" s="790">
        <f>+J356*G395+E395</f>
        <v>2511172.207520993</v>
      </c>
      <c r="I395" s="791">
        <f>+J357*G395+E395</f>
        <v>2511172.207520993</v>
      </c>
      <c r="J395" s="788">
        <f t="shared" si="33"/>
        <v>0</v>
      </c>
      <c r="K395" s="788"/>
      <c r="L395" s="1310"/>
      <c r="M395" s="788">
        <f t="shared" si="27"/>
        <v>0</v>
      </c>
      <c r="N395" s="1310"/>
      <c r="O395" s="788">
        <f t="shared" si="28"/>
        <v>0</v>
      </c>
      <c r="P395" s="788">
        <f t="shared" si="29"/>
        <v>0</v>
      </c>
    </row>
    <row r="396" spans="3:16">
      <c r="C396" s="784">
        <f>IF(D355="","-",+C395+1)</f>
        <v>2049</v>
      </c>
      <c r="D396" s="732">
        <f t="shared" si="30"/>
        <v>7507005.1607692875</v>
      </c>
      <c r="E396" s="785">
        <f t="shared" si="32"/>
        <v>1553173.4815384615</v>
      </c>
      <c r="F396" s="785">
        <f t="shared" si="26"/>
        <v>5953831.679230826</v>
      </c>
      <c r="G396" s="732">
        <f t="shared" si="31"/>
        <v>6730418.4200000567</v>
      </c>
      <c r="H396" s="790">
        <f>+J356*G396+E396</f>
        <v>2331547.4463992696</v>
      </c>
      <c r="I396" s="791">
        <f>+J357*G396+E396</f>
        <v>2331547.4463992696</v>
      </c>
      <c r="J396" s="788">
        <f t="shared" si="33"/>
        <v>0</v>
      </c>
      <c r="K396" s="788"/>
      <c r="L396" s="1310"/>
      <c r="M396" s="788">
        <f t="shared" si="27"/>
        <v>0</v>
      </c>
      <c r="N396" s="1310"/>
      <c r="O396" s="788">
        <f t="shared" si="28"/>
        <v>0</v>
      </c>
      <c r="P396" s="788">
        <f t="shared" si="29"/>
        <v>0</v>
      </c>
    </row>
    <row r="397" spans="3:16">
      <c r="C397" s="784">
        <f>IF(D355="","-",+C396+1)</f>
        <v>2050</v>
      </c>
      <c r="D397" s="732">
        <f t="shared" si="30"/>
        <v>5953831.679230826</v>
      </c>
      <c r="E397" s="785">
        <f t="shared" si="32"/>
        <v>1553173.4815384615</v>
      </c>
      <c r="F397" s="785">
        <f t="shared" si="26"/>
        <v>4400658.1976923645</v>
      </c>
      <c r="G397" s="732">
        <f t="shared" si="31"/>
        <v>5177244.9384615952</v>
      </c>
      <c r="H397" s="790">
        <f>+J356*G397+E397</f>
        <v>2151922.6852775458</v>
      </c>
      <c r="I397" s="791">
        <f>+J357*G397+E397</f>
        <v>2151922.6852775458</v>
      </c>
      <c r="J397" s="788">
        <f t="shared" si="33"/>
        <v>0</v>
      </c>
      <c r="K397" s="788"/>
      <c r="L397" s="1310"/>
      <c r="M397" s="788">
        <f t="shared" si="27"/>
        <v>0</v>
      </c>
      <c r="N397" s="1310"/>
      <c r="O397" s="788">
        <f t="shared" si="28"/>
        <v>0</v>
      </c>
      <c r="P397" s="788">
        <f t="shared" si="29"/>
        <v>0</v>
      </c>
    </row>
    <row r="398" spans="3:16">
      <c r="C398" s="784">
        <f>IF(D355="","-",+C397+1)</f>
        <v>2051</v>
      </c>
      <c r="D398" s="732">
        <f t="shared" si="30"/>
        <v>4400658.1976923645</v>
      </c>
      <c r="E398" s="785">
        <f t="shared" si="32"/>
        <v>1553173.4815384615</v>
      </c>
      <c r="F398" s="785">
        <f t="shared" si="26"/>
        <v>2847484.7161539029</v>
      </c>
      <c r="G398" s="732">
        <f t="shared" si="31"/>
        <v>3624071.4569231337</v>
      </c>
      <c r="H398" s="790">
        <f>+J356*G398+E398</f>
        <v>1972297.9241558227</v>
      </c>
      <c r="I398" s="791">
        <f>+J357*G398+E398</f>
        <v>1972297.9241558227</v>
      </c>
      <c r="J398" s="788">
        <f t="shared" si="33"/>
        <v>0</v>
      </c>
      <c r="K398" s="788"/>
      <c r="L398" s="1310"/>
      <c r="M398" s="788">
        <f t="shared" si="27"/>
        <v>0</v>
      </c>
      <c r="N398" s="1310"/>
      <c r="O398" s="788">
        <f t="shared" si="28"/>
        <v>0</v>
      </c>
      <c r="P398" s="788">
        <f t="shared" si="29"/>
        <v>0</v>
      </c>
    </row>
    <row r="399" spans="3:16">
      <c r="C399" s="784">
        <f>IF(D355="","-",+C398+1)</f>
        <v>2052</v>
      </c>
      <c r="D399" s="732">
        <f t="shared" si="30"/>
        <v>2847484.7161539029</v>
      </c>
      <c r="E399" s="785">
        <f t="shared" si="32"/>
        <v>1553173.4815384615</v>
      </c>
      <c r="F399" s="785">
        <f t="shared" si="26"/>
        <v>1294311.2346154414</v>
      </c>
      <c r="G399" s="732">
        <f t="shared" si="31"/>
        <v>2070897.9753846722</v>
      </c>
      <c r="H399" s="790">
        <f>+J356*G399+E399</f>
        <v>1792673.1630340992</v>
      </c>
      <c r="I399" s="791">
        <f>+J357*G399+E399</f>
        <v>1792673.1630340992</v>
      </c>
      <c r="J399" s="788">
        <f t="shared" si="33"/>
        <v>0</v>
      </c>
      <c r="K399" s="788"/>
      <c r="L399" s="1310"/>
      <c r="M399" s="788">
        <f t="shared" si="27"/>
        <v>0</v>
      </c>
      <c r="N399" s="1310"/>
      <c r="O399" s="788">
        <f t="shared" si="28"/>
        <v>0</v>
      </c>
      <c r="P399" s="788">
        <f t="shared" si="29"/>
        <v>0</v>
      </c>
    </row>
    <row r="400" spans="3:16">
      <c r="C400" s="784">
        <f>IF(D355="","-",+C399+1)</f>
        <v>2053</v>
      </c>
      <c r="D400" s="732">
        <f t="shared" si="30"/>
        <v>1294311.2346154414</v>
      </c>
      <c r="E400" s="785">
        <f t="shared" si="32"/>
        <v>1294311.2346154414</v>
      </c>
      <c r="F400" s="785">
        <f t="shared" si="26"/>
        <v>0</v>
      </c>
      <c r="G400" s="732">
        <f t="shared" si="31"/>
        <v>647155.61730772071</v>
      </c>
      <c r="H400" s="790">
        <f>+J356*G400+E400</f>
        <v>1369154.8850828295</v>
      </c>
      <c r="I400" s="791">
        <f>+J357*G400+E400</f>
        <v>1369154.8850828295</v>
      </c>
      <c r="J400" s="788">
        <f t="shared" si="33"/>
        <v>0</v>
      </c>
      <c r="K400" s="788"/>
      <c r="L400" s="1310"/>
      <c r="M400" s="788">
        <f t="shared" si="27"/>
        <v>0</v>
      </c>
      <c r="N400" s="1310"/>
      <c r="O400" s="788">
        <f t="shared" si="28"/>
        <v>0</v>
      </c>
      <c r="P400" s="788">
        <f t="shared" si="29"/>
        <v>0</v>
      </c>
    </row>
    <row r="401" spans="3:16">
      <c r="C401" s="784">
        <f>IF(D355="","-",+C400+1)</f>
        <v>2054</v>
      </c>
      <c r="D401" s="732">
        <f t="shared" si="30"/>
        <v>0</v>
      </c>
      <c r="E401" s="785">
        <f t="shared" si="32"/>
        <v>0</v>
      </c>
      <c r="F401" s="785">
        <f t="shared" si="26"/>
        <v>0</v>
      </c>
      <c r="G401" s="732">
        <f t="shared" si="31"/>
        <v>0</v>
      </c>
      <c r="H401" s="790">
        <f>+J356*G401+E401</f>
        <v>0</v>
      </c>
      <c r="I401" s="791">
        <f>+J357*G401+E401</f>
        <v>0</v>
      </c>
      <c r="J401" s="788">
        <f t="shared" si="33"/>
        <v>0</v>
      </c>
      <c r="K401" s="788"/>
      <c r="L401" s="1310"/>
      <c r="M401" s="788">
        <f t="shared" si="27"/>
        <v>0</v>
      </c>
      <c r="N401" s="1310"/>
      <c r="O401" s="788">
        <f t="shared" si="28"/>
        <v>0</v>
      </c>
      <c r="P401" s="788">
        <f t="shared" si="29"/>
        <v>0</v>
      </c>
    </row>
    <row r="402" spans="3:16">
      <c r="C402" s="784">
        <f>IF(D355="","-",+C401+1)</f>
        <v>2055</v>
      </c>
      <c r="D402" s="732">
        <f t="shared" si="30"/>
        <v>0</v>
      </c>
      <c r="E402" s="785">
        <f t="shared" si="32"/>
        <v>0</v>
      </c>
      <c r="F402" s="785">
        <f t="shared" si="26"/>
        <v>0</v>
      </c>
      <c r="G402" s="732">
        <f t="shared" si="31"/>
        <v>0</v>
      </c>
      <c r="H402" s="790">
        <f>+J356*G402+E402</f>
        <v>0</v>
      </c>
      <c r="I402" s="791">
        <f>+J357*G402+E402</f>
        <v>0</v>
      </c>
      <c r="J402" s="788">
        <f t="shared" si="33"/>
        <v>0</v>
      </c>
      <c r="K402" s="788"/>
      <c r="L402" s="1310"/>
      <c r="M402" s="788">
        <f t="shared" si="27"/>
        <v>0</v>
      </c>
      <c r="N402" s="1310"/>
      <c r="O402" s="788">
        <f t="shared" si="28"/>
        <v>0</v>
      </c>
      <c r="P402" s="788">
        <f t="shared" si="29"/>
        <v>0</v>
      </c>
    </row>
    <row r="403" spans="3:16">
      <c r="C403" s="784">
        <f>IF(D355="","-",+C402+1)</f>
        <v>2056</v>
      </c>
      <c r="D403" s="732">
        <f t="shared" si="30"/>
        <v>0</v>
      </c>
      <c r="E403" s="785">
        <f t="shared" si="32"/>
        <v>0</v>
      </c>
      <c r="F403" s="785">
        <f t="shared" si="26"/>
        <v>0</v>
      </c>
      <c r="G403" s="732">
        <f t="shared" si="31"/>
        <v>0</v>
      </c>
      <c r="H403" s="790">
        <f>+J356*G403+E403</f>
        <v>0</v>
      </c>
      <c r="I403" s="791">
        <f>+J357*G403+E403</f>
        <v>0</v>
      </c>
      <c r="J403" s="788">
        <f t="shared" si="33"/>
        <v>0</v>
      </c>
      <c r="K403" s="788"/>
      <c r="L403" s="1310"/>
      <c r="M403" s="788">
        <f t="shared" si="27"/>
        <v>0</v>
      </c>
      <c r="N403" s="1310"/>
      <c r="O403" s="788">
        <f t="shared" si="28"/>
        <v>0</v>
      </c>
      <c r="P403" s="788">
        <f t="shared" si="29"/>
        <v>0</v>
      </c>
    </row>
    <row r="404" spans="3:16">
      <c r="C404" s="784">
        <f>IF(D355="","-",+C403+1)</f>
        <v>2057</v>
      </c>
      <c r="D404" s="732">
        <f t="shared" si="30"/>
        <v>0</v>
      </c>
      <c r="E404" s="785">
        <f t="shared" si="32"/>
        <v>0</v>
      </c>
      <c r="F404" s="785">
        <f t="shared" si="26"/>
        <v>0</v>
      </c>
      <c r="G404" s="732">
        <f t="shared" si="31"/>
        <v>0</v>
      </c>
      <c r="H404" s="790">
        <f>+J356*G404+E404</f>
        <v>0</v>
      </c>
      <c r="I404" s="791">
        <f>+J357*G404+E404</f>
        <v>0</v>
      </c>
      <c r="J404" s="788">
        <f t="shared" si="33"/>
        <v>0</v>
      </c>
      <c r="K404" s="788"/>
      <c r="L404" s="1310"/>
      <c r="M404" s="788">
        <f t="shared" si="27"/>
        <v>0</v>
      </c>
      <c r="N404" s="1310"/>
      <c r="O404" s="788">
        <f t="shared" si="28"/>
        <v>0</v>
      </c>
      <c r="P404" s="788">
        <f t="shared" si="29"/>
        <v>0</v>
      </c>
    </row>
    <row r="405" spans="3:16">
      <c r="C405" s="784">
        <f>IF(D355="","-",+C404+1)</f>
        <v>2058</v>
      </c>
      <c r="D405" s="732">
        <f t="shared" si="30"/>
        <v>0</v>
      </c>
      <c r="E405" s="785">
        <f t="shared" si="32"/>
        <v>0</v>
      </c>
      <c r="F405" s="785">
        <f t="shared" si="26"/>
        <v>0</v>
      </c>
      <c r="G405" s="732">
        <f t="shared" si="31"/>
        <v>0</v>
      </c>
      <c r="H405" s="790">
        <f>+J356*G405+E405</f>
        <v>0</v>
      </c>
      <c r="I405" s="791">
        <f>+J357*G405+E405</f>
        <v>0</v>
      </c>
      <c r="J405" s="788">
        <f t="shared" si="33"/>
        <v>0</v>
      </c>
      <c r="K405" s="788"/>
      <c r="L405" s="1310"/>
      <c r="M405" s="788">
        <f t="shared" si="27"/>
        <v>0</v>
      </c>
      <c r="N405" s="1310"/>
      <c r="O405" s="788">
        <f t="shared" si="28"/>
        <v>0</v>
      </c>
      <c r="P405" s="788">
        <f t="shared" si="29"/>
        <v>0</v>
      </c>
    </row>
    <row r="406" spans="3:16">
      <c r="C406" s="784">
        <f>IF(D355="","-",+C405+1)</f>
        <v>2059</v>
      </c>
      <c r="D406" s="732">
        <f t="shared" si="30"/>
        <v>0</v>
      </c>
      <c r="E406" s="785">
        <f t="shared" si="32"/>
        <v>0</v>
      </c>
      <c r="F406" s="785">
        <f t="shared" si="26"/>
        <v>0</v>
      </c>
      <c r="G406" s="732">
        <f t="shared" si="31"/>
        <v>0</v>
      </c>
      <c r="H406" s="790">
        <f>+J356*G406+E406</f>
        <v>0</v>
      </c>
      <c r="I406" s="791">
        <f>+J357*G406+E406</f>
        <v>0</v>
      </c>
      <c r="J406" s="788">
        <f t="shared" si="33"/>
        <v>0</v>
      </c>
      <c r="K406" s="788"/>
      <c r="L406" s="1310"/>
      <c r="M406" s="788">
        <f t="shared" si="27"/>
        <v>0</v>
      </c>
      <c r="N406" s="1310"/>
      <c r="O406" s="788">
        <f t="shared" si="28"/>
        <v>0</v>
      </c>
      <c r="P406" s="788">
        <f t="shared" si="29"/>
        <v>0</v>
      </c>
    </row>
    <row r="407" spans="3:16">
      <c r="C407" s="784">
        <f>IF(D355="","-",+C406+1)</f>
        <v>2060</v>
      </c>
      <c r="D407" s="732">
        <f t="shared" si="30"/>
        <v>0</v>
      </c>
      <c r="E407" s="785">
        <f t="shared" si="32"/>
        <v>0</v>
      </c>
      <c r="F407" s="785">
        <f t="shared" si="26"/>
        <v>0</v>
      </c>
      <c r="G407" s="732">
        <f t="shared" si="31"/>
        <v>0</v>
      </c>
      <c r="H407" s="790">
        <f>+J356*G407+E407</f>
        <v>0</v>
      </c>
      <c r="I407" s="791">
        <f>+J357*G407+E407</f>
        <v>0</v>
      </c>
      <c r="J407" s="788">
        <f t="shared" si="33"/>
        <v>0</v>
      </c>
      <c r="K407" s="788"/>
      <c r="L407" s="1310"/>
      <c r="M407" s="788">
        <f t="shared" si="27"/>
        <v>0</v>
      </c>
      <c r="N407" s="1310"/>
      <c r="O407" s="788">
        <f t="shared" si="28"/>
        <v>0</v>
      </c>
      <c r="P407" s="788">
        <f t="shared" si="29"/>
        <v>0</v>
      </c>
    </row>
    <row r="408" spans="3:16">
      <c r="C408" s="784">
        <f>IF(D355="","-",+C407+1)</f>
        <v>2061</v>
      </c>
      <c r="D408" s="732">
        <f t="shared" si="30"/>
        <v>0</v>
      </c>
      <c r="E408" s="785">
        <f t="shared" si="32"/>
        <v>0</v>
      </c>
      <c r="F408" s="785">
        <f t="shared" si="26"/>
        <v>0</v>
      </c>
      <c r="G408" s="732">
        <f t="shared" si="31"/>
        <v>0</v>
      </c>
      <c r="H408" s="790">
        <f>+J356*G408+E408</f>
        <v>0</v>
      </c>
      <c r="I408" s="791">
        <f>+J357*G408+E408</f>
        <v>0</v>
      </c>
      <c r="J408" s="788">
        <f t="shared" si="33"/>
        <v>0</v>
      </c>
      <c r="K408" s="788"/>
      <c r="L408" s="1310"/>
      <c r="M408" s="788">
        <f t="shared" si="27"/>
        <v>0</v>
      </c>
      <c r="N408" s="1310"/>
      <c r="O408" s="788">
        <f t="shared" si="28"/>
        <v>0</v>
      </c>
      <c r="P408" s="788">
        <f t="shared" si="29"/>
        <v>0</v>
      </c>
    </row>
    <row r="409" spans="3:16">
      <c r="C409" s="784">
        <f>IF(D355="","-",+C408+1)</f>
        <v>2062</v>
      </c>
      <c r="D409" s="732">
        <f t="shared" si="30"/>
        <v>0</v>
      </c>
      <c r="E409" s="785">
        <f t="shared" si="32"/>
        <v>0</v>
      </c>
      <c r="F409" s="785">
        <f t="shared" si="26"/>
        <v>0</v>
      </c>
      <c r="G409" s="732">
        <f t="shared" si="31"/>
        <v>0</v>
      </c>
      <c r="H409" s="790">
        <f>+J356*G409+E409</f>
        <v>0</v>
      </c>
      <c r="I409" s="791">
        <f>+J357*G409+E409</f>
        <v>0</v>
      </c>
      <c r="J409" s="788">
        <f t="shared" si="33"/>
        <v>0</v>
      </c>
      <c r="K409" s="788"/>
      <c r="L409" s="1310"/>
      <c r="M409" s="788">
        <f t="shared" si="27"/>
        <v>0</v>
      </c>
      <c r="N409" s="1310"/>
      <c r="O409" s="788">
        <f t="shared" si="28"/>
        <v>0</v>
      </c>
      <c r="P409" s="788">
        <f t="shared" si="29"/>
        <v>0</v>
      </c>
    </row>
    <row r="410" spans="3:16">
      <c r="C410" s="784">
        <f>IF(D355="","-",+C409+1)</f>
        <v>2063</v>
      </c>
      <c r="D410" s="732">
        <f t="shared" si="30"/>
        <v>0</v>
      </c>
      <c r="E410" s="785">
        <f t="shared" si="32"/>
        <v>0</v>
      </c>
      <c r="F410" s="785">
        <f t="shared" si="26"/>
        <v>0</v>
      </c>
      <c r="G410" s="732">
        <f t="shared" si="31"/>
        <v>0</v>
      </c>
      <c r="H410" s="790">
        <f>+J356*G410+E410</f>
        <v>0</v>
      </c>
      <c r="I410" s="791">
        <f>+J357*G410+E410</f>
        <v>0</v>
      </c>
      <c r="J410" s="788">
        <f t="shared" si="33"/>
        <v>0</v>
      </c>
      <c r="K410" s="788"/>
      <c r="L410" s="1310"/>
      <c r="M410" s="788">
        <f t="shared" si="27"/>
        <v>0</v>
      </c>
      <c r="N410" s="1310"/>
      <c r="O410" s="788">
        <f t="shared" si="28"/>
        <v>0</v>
      </c>
      <c r="P410" s="788">
        <f t="shared" si="29"/>
        <v>0</v>
      </c>
    </row>
    <row r="411" spans="3:16">
      <c r="C411" s="784">
        <f>IF(D355="","-",+C410+1)</f>
        <v>2064</v>
      </c>
      <c r="D411" s="732">
        <f t="shared" si="30"/>
        <v>0</v>
      </c>
      <c r="E411" s="785">
        <f t="shared" si="32"/>
        <v>0</v>
      </c>
      <c r="F411" s="785">
        <f t="shared" si="26"/>
        <v>0</v>
      </c>
      <c r="G411" s="732">
        <f t="shared" si="31"/>
        <v>0</v>
      </c>
      <c r="H411" s="790">
        <f>+J356*G411+E411</f>
        <v>0</v>
      </c>
      <c r="I411" s="791">
        <f>+J357*G411+E411</f>
        <v>0</v>
      </c>
      <c r="J411" s="788">
        <f t="shared" si="33"/>
        <v>0</v>
      </c>
      <c r="K411" s="788"/>
      <c r="L411" s="1310"/>
      <c r="M411" s="788">
        <f t="shared" si="27"/>
        <v>0</v>
      </c>
      <c r="N411" s="1310"/>
      <c r="O411" s="788">
        <f t="shared" si="28"/>
        <v>0</v>
      </c>
      <c r="P411" s="788">
        <f t="shared" si="29"/>
        <v>0</v>
      </c>
    </row>
    <row r="412" spans="3:16">
      <c r="C412" s="784">
        <f>IF(D355="","-",+C411+1)</f>
        <v>2065</v>
      </c>
      <c r="D412" s="732">
        <f t="shared" si="30"/>
        <v>0</v>
      </c>
      <c r="E412" s="785">
        <f t="shared" si="32"/>
        <v>0</v>
      </c>
      <c r="F412" s="785">
        <f t="shared" si="26"/>
        <v>0</v>
      </c>
      <c r="G412" s="732">
        <f t="shared" si="31"/>
        <v>0</v>
      </c>
      <c r="H412" s="790">
        <f>+J356*G412+E412</f>
        <v>0</v>
      </c>
      <c r="I412" s="791">
        <f>+J357*G412+E412</f>
        <v>0</v>
      </c>
      <c r="J412" s="788">
        <f t="shared" si="33"/>
        <v>0</v>
      </c>
      <c r="K412" s="788"/>
      <c r="L412" s="1310"/>
      <c r="M412" s="788">
        <f t="shared" si="27"/>
        <v>0</v>
      </c>
      <c r="N412" s="1310"/>
      <c r="O412" s="788">
        <f t="shared" si="28"/>
        <v>0</v>
      </c>
      <c r="P412" s="788">
        <f t="shared" si="29"/>
        <v>0</v>
      </c>
    </row>
    <row r="413" spans="3:16">
      <c r="C413" s="784">
        <f>IF(D355="","-",+C412+1)</f>
        <v>2066</v>
      </c>
      <c r="D413" s="732">
        <f t="shared" si="30"/>
        <v>0</v>
      </c>
      <c r="E413" s="785">
        <f t="shared" si="32"/>
        <v>0</v>
      </c>
      <c r="F413" s="785">
        <f t="shared" si="26"/>
        <v>0</v>
      </c>
      <c r="G413" s="732">
        <f t="shared" si="31"/>
        <v>0</v>
      </c>
      <c r="H413" s="790">
        <f>+J356*G413+E413</f>
        <v>0</v>
      </c>
      <c r="I413" s="791">
        <f>+J357*G413+E413</f>
        <v>0</v>
      </c>
      <c r="J413" s="788">
        <f t="shared" si="33"/>
        <v>0</v>
      </c>
      <c r="K413" s="788"/>
      <c r="L413" s="1310"/>
      <c r="M413" s="788">
        <f t="shared" si="27"/>
        <v>0</v>
      </c>
      <c r="N413" s="1310"/>
      <c r="O413" s="788">
        <f t="shared" si="28"/>
        <v>0</v>
      </c>
      <c r="P413" s="788">
        <f t="shared" si="29"/>
        <v>0</v>
      </c>
    </row>
    <row r="414" spans="3:16">
      <c r="C414" s="784">
        <f>IF(D355="","-",+C413+1)</f>
        <v>2067</v>
      </c>
      <c r="D414" s="732">
        <f t="shared" si="30"/>
        <v>0</v>
      </c>
      <c r="E414" s="785">
        <f t="shared" si="32"/>
        <v>0</v>
      </c>
      <c r="F414" s="785">
        <f t="shared" si="26"/>
        <v>0</v>
      </c>
      <c r="G414" s="732">
        <f t="shared" si="31"/>
        <v>0</v>
      </c>
      <c r="H414" s="790">
        <f>+J356*G414+E414</f>
        <v>0</v>
      </c>
      <c r="I414" s="791">
        <f>+J357*G414+E414</f>
        <v>0</v>
      </c>
      <c r="J414" s="788">
        <f t="shared" si="33"/>
        <v>0</v>
      </c>
      <c r="K414" s="788"/>
      <c r="L414" s="1310"/>
      <c r="M414" s="788">
        <f t="shared" si="27"/>
        <v>0</v>
      </c>
      <c r="N414" s="1310"/>
      <c r="O414" s="788">
        <f t="shared" si="28"/>
        <v>0</v>
      </c>
      <c r="P414" s="788">
        <f t="shared" si="29"/>
        <v>0</v>
      </c>
    </row>
    <row r="415" spans="3:16">
      <c r="C415" s="784">
        <f>IF(D355="","-",+C414+1)</f>
        <v>2068</v>
      </c>
      <c r="D415" s="732">
        <f t="shared" ref="D415:D420" si="34">F414</f>
        <v>0</v>
      </c>
      <c r="E415" s="785">
        <f t="shared" si="32"/>
        <v>0</v>
      </c>
      <c r="F415" s="785">
        <f t="shared" si="26"/>
        <v>0</v>
      </c>
      <c r="G415" s="732">
        <f t="shared" si="31"/>
        <v>0</v>
      </c>
      <c r="H415" s="790">
        <f>+J356*G415+E415</f>
        <v>0</v>
      </c>
      <c r="I415" s="791">
        <f>+J357*G415+E415</f>
        <v>0</v>
      </c>
      <c r="J415" s="788">
        <f t="shared" si="33"/>
        <v>0</v>
      </c>
      <c r="K415" s="788"/>
      <c r="L415" s="1310"/>
      <c r="M415" s="788">
        <f t="shared" si="27"/>
        <v>0</v>
      </c>
      <c r="N415" s="1310"/>
      <c r="O415" s="788">
        <f t="shared" si="28"/>
        <v>0</v>
      </c>
      <c r="P415" s="788">
        <f t="shared" si="29"/>
        <v>0</v>
      </c>
    </row>
    <row r="416" spans="3:16">
      <c r="C416" s="784">
        <f>IF(D355="","-",+C415+1)</f>
        <v>2069</v>
      </c>
      <c r="D416" s="732">
        <f t="shared" si="34"/>
        <v>0</v>
      </c>
      <c r="E416" s="785">
        <f t="shared" si="32"/>
        <v>0</v>
      </c>
      <c r="F416" s="785">
        <f t="shared" si="26"/>
        <v>0</v>
      </c>
      <c r="G416" s="732">
        <f t="shared" si="31"/>
        <v>0</v>
      </c>
      <c r="H416" s="790">
        <f>+J356*G416+E416</f>
        <v>0</v>
      </c>
      <c r="I416" s="791">
        <f>+J357*G416+E416</f>
        <v>0</v>
      </c>
      <c r="J416" s="788">
        <f t="shared" si="33"/>
        <v>0</v>
      </c>
      <c r="K416" s="788"/>
      <c r="L416" s="1310"/>
      <c r="M416" s="788">
        <f t="shared" si="27"/>
        <v>0</v>
      </c>
      <c r="N416" s="1310"/>
      <c r="O416" s="788">
        <f t="shared" si="28"/>
        <v>0</v>
      </c>
      <c r="P416" s="788">
        <f t="shared" si="29"/>
        <v>0</v>
      </c>
    </row>
    <row r="417" spans="1:17">
      <c r="C417" s="784">
        <f>IF(D355="","-",+C416+1)</f>
        <v>2070</v>
      </c>
      <c r="D417" s="732">
        <f t="shared" si="34"/>
        <v>0</v>
      </c>
      <c r="E417" s="785">
        <f t="shared" si="32"/>
        <v>0</v>
      </c>
      <c r="F417" s="785">
        <f t="shared" si="26"/>
        <v>0</v>
      </c>
      <c r="G417" s="732">
        <f t="shared" si="31"/>
        <v>0</v>
      </c>
      <c r="H417" s="790">
        <f>+J356*G417+E417</f>
        <v>0</v>
      </c>
      <c r="I417" s="791">
        <f>+J357*G417+E417</f>
        <v>0</v>
      </c>
      <c r="J417" s="788">
        <f t="shared" si="33"/>
        <v>0</v>
      </c>
      <c r="K417" s="788"/>
      <c r="L417" s="1310"/>
      <c r="M417" s="788">
        <f t="shared" si="27"/>
        <v>0</v>
      </c>
      <c r="N417" s="1310"/>
      <c r="O417" s="788">
        <f t="shared" si="28"/>
        <v>0</v>
      </c>
      <c r="P417" s="788">
        <f t="shared" si="29"/>
        <v>0</v>
      </c>
    </row>
    <row r="418" spans="1:17">
      <c r="C418" s="784">
        <f>IF(D355="","-",+C417+1)</f>
        <v>2071</v>
      </c>
      <c r="D418" s="732">
        <f t="shared" si="34"/>
        <v>0</v>
      </c>
      <c r="E418" s="785">
        <f t="shared" si="32"/>
        <v>0</v>
      </c>
      <c r="F418" s="785">
        <f t="shared" si="26"/>
        <v>0</v>
      </c>
      <c r="G418" s="732">
        <f t="shared" si="31"/>
        <v>0</v>
      </c>
      <c r="H418" s="790">
        <f>+J356*G418+E418</f>
        <v>0</v>
      </c>
      <c r="I418" s="791">
        <f>+J357*G418+E418</f>
        <v>0</v>
      </c>
      <c r="J418" s="788">
        <f t="shared" si="33"/>
        <v>0</v>
      </c>
      <c r="K418" s="788"/>
      <c r="L418" s="1310"/>
      <c r="M418" s="788">
        <f t="shared" si="27"/>
        <v>0</v>
      </c>
      <c r="N418" s="1310"/>
      <c r="O418" s="788">
        <f t="shared" si="28"/>
        <v>0</v>
      </c>
      <c r="P418" s="788">
        <f t="shared" si="29"/>
        <v>0</v>
      </c>
    </row>
    <row r="419" spans="1:17">
      <c r="C419" s="784">
        <f>IF(D355="","-",+C418+1)</f>
        <v>2072</v>
      </c>
      <c r="D419" s="732">
        <f t="shared" si="34"/>
        <v>0</v>
      </c>
      <c r="E419" s="785">
        <f t="shared" si="32"/>
        <v>0</v>
      </c>
      <c r="F419" s="785">
        <f t="shared" si="26"/>
        <v>0</v>
      </c>
      <c r="G419" s="732">
        <f t="shared" si="31"/>
        <v>0</v>
      </c>
      <c r="H419" s="790">
        <f>+J356*G419+E419</f>
        <v>0</v>
      </c>
      <c r="I419" s="791">
        <f>+J357*G419+E419</f>
        <v>0</v>
      </c>
      <c r="J419" s="788">
        <f t="shared" si="33"/>
        <v>0</v>
      </c>
      <c r="K419" s="788"/>
      <c r="L419" s="1310"/>
      <c r="M419" s="788">
        <f t="shared" si="27"/>
        <v>0</v>
      </c>
      <c r="N419" s="1310"/>
      <c r="O419" s="788">
        <f t="shared" si="28"/>
        <v>0</v>
      </c>
      <c r="P419" s="788">
        <f t="shared" si="29"/>
        <v>0</v>
      </c>
    </row>
    <row r="420" spans="1:17" ht="13.5" thickBot="1">
      <c r="C420" s="794">
        <f>IF(D355="","-",+C419+1)</f>
        <v>2073</v>
      </c>
      <c r="D420" s="795">
        <f t="shared" si="34"/>
        <v>0</v>
      </c>
      <c r="E420" s="796">
        <f t="shared" si="32"/>
        <v>0</v>
      </c>
      <c r="F420" s="796">
        <f t="shared" si="26"/>
        <v>0</v>
      </c>
      <c r="G420" s="795">
        <f t="shared" si="31"/>
        <v>0</v>
      </c>
      <c r="H420" s="797">
        <f>+J356*G420+E420</f>
        <v>0</v>
      </c>
      <c r="I420" s="797">
        <f>+J357*G420+E420</f>
        <v>0</v>
      </c>
      <c r="J420" s="798">
        <f t="shared" si="33"/>
        <v>0</v>
      </c>
      <c r="K420" s="788"/>
      <c r="L420" s="1311"/>
      <c r="M420" s="798">
        <f t="shared" si="27"/>
        <v>0</v>
      </c>
      <c r="N420" s="1311"/>
      <c r="O420" s="798">
        <f t="shared" si="28"/>
        <v>0</v>
      </c>
      <c r="P420" s="798">
        <f t="shared" si="29"/>
        <v>0</v>
      </c>
    </row>
    <row r="421" spans="1:17">
      <c r="C421" s="732" t="s">
        <v>93</v>
      </c>
      <c r="D421" s="726"/>
      <c r="E421" s="726">
        <f>SUM(E361:E420)</f>
        <v>60573765.780000001</v>
      </c>
      <c r="F421" s="726"/>
      <c r="G421" s="726"/>
      <c r="H421" s="726">
        <f>SUM(H361:H420)</f>
        <v>203016201.34952691</v>
      </c>
      <c r="I421" s="726">
        <f>SUM(I361:I420)</f>
        <v>203016201.34952691</v>
      </c>
      <c r="J421" s="726">
        <f>SUM(J361:J420)</f>
        <v>0</v>
      </c>
      <c r="K421" s="726"/>
      <c r="L421" s="726"/>
      <c r="M421" s="726"/>
      <c r="N421" s="726"/>
      <c r="O421" s="726"/>
    </row>
    <row r="422" spans="1:17">
      <c r="D422" s="534"/>
      <c r="E422" s="313"/>
      <c r="F422" s="313"/>
      <c r="G422" s="313"/>
      <c r="H422" s="313"/>
      <c r="I422" s="704"/>
      <c r="J422" s="704"/>
      <c r="K422" s="726"/>
      <c r="L422" s="704"/>
      <c r="M422" s="704"/>
      <c r="N422" s="704"/>
      <c r="O422" s="704"/>
    </row>
    <row r="423" spans="1:17">
      <c r="C423" s="313" t="s">
        <v>15</v>
      </c>
      <c r="D423" s="534"/>
      <c r="E423" s="313"/>
      <c r="F423" s="313"/>
      <c r="G423" s="313"/>
      <c r="H423" s="313"/>
      <c r="I423" s="704"/>
      <c r="J423" s="704"/>
      <c r="K423" s="726"/>
      <c r="L423" s="704"/>
      <c r="M423" s="704"/>
      <c r="N423" s="704"/>
      <c r="O423" s="704"/>
    </row>
    <row r="424" spans="1:17">
      <c r="C424" s="313"/>
      <c r="D424" s="534"/>
      <c r="E424" s="313"/>
      <c r="F424" s="313"/>
      <c r="G424" s="313"/>
      <c r="H424" s="313"/>
      <c r="I424" s="704"/>
      <c r="J424" s="704"/>
      <c r="K424" s="726"/>
      <c r="L424" s="704"/>
      <c r="M424" s="704"/>
      <c r="N424" s="704"/>
      <c r="O424" s="704"/>
    </row>
    <row r="425" spans="1:17">
      <c r="C425" s="745" t="s">
        <v>16</v>
      </c>
      <c r="D425" s="732"/>
      <c r="E425" s="732"/>
      <c r="F425" s="732"/>
      <c r="G425" s="732"/>
      <c r="H425" s="726"/>
      <c r="I425" s="726"/>
      <c r="J425" s="800"/>
      <c r="K425" s="800"/>
      <c r="L425" s="800"/>
      <c r="M425" s="800"/>
      <c r="N425" s="800"/>
      <c r="O425" s="800"/>
    </row>
    <row r="426" spans="1:17">
      <c r="C426" s="731" t="s">
        <v>273</v>
      </c>
      <c r="D426" s="732"/>
      <c r="E426" s="732"/>
      <c r="F426" s="732"/>
      <c r="G426" s="732"/>
      <c r="H426" s="726"/>
      <c r="I426" s="726"/>
      <c r="J426" s="800"/>
      <c r="K426" s="800"/>
      <c r="L426" s="800"/>
      <c r="M426" s="800"/>
      <c r="N426" s="800"/>
      <c r="O426" s="800"/>
    </row>
    <row r="427" spans="1:17">
      <c r="C427" s="731" t="s">
        <v>94</v>
      </c>
      <c r="D427" s="732"/>
      <c r="E427" s="732"/>
      <c r="F427" s="732"/>
      <c r="G427" s="732"/>
      <c r="H427" s="726"/>
      <c r="I427" s="726"/>
      <c r="J427" s="800"/>
      <c r="K427" s="800"/>
      <c r="L427" s="800"/>
      <c r="M427" s="800"/>
      <c r="N427" s="800"/>
      <c r="O427" s="800"/>
    </row>
    <row r="428" spans="1:17">
      <c r="C428" s="731"/>
      <c r="D428" s="732"/>
      <c r="E428" s="732"/>
      <c r="F428" s="732"/>
      <c r="G428" s="732"/>
      <c r="H428" s="726"/>
      <c r="I428" s="726"/>
      <c r="J428" s="800"/>
      <c r="K428" s="800"/>
      <c r="L428" s="800"/>
      <c r="M428" s="800"/>
      <c r="N428" s="800"/>
      <c r="O428" s="800"/>
    </row>
    <row r="429" spans="1:17" ht="20.25">
      <c r="A429" s="733" t="str">
        <f>""&amp;A351&amp;" Worksheet K -  ATRR TRUE-UP Calculation for PJM Projects Charged to Benefiting Zones"</f>
        <v xml:space="preserve"> Worksheet K -  ATRR TRUE-UP Calculation for PJM Projects Charged to Benefiting Zones</v>
      </c>
      <c r="B429" s="346"/>
      <c r="C429" s="721"/>
      <c r="D429" s="534"/>
      <c r="E429" s="313"/>
      <c r="F429" s="703"/>
      <c r="G429" s="703"/>
      <c r="H429" s="313"/>
      <c r="I429" s="704"/>
      <c r="L429" s="560"/>
      <c r="M429" s="560"/>
      <c r="N429" s="560"/>
      <c r="O429" s="649" t="str">
        <f>"Page "&amp;SUM(Q$8:Q429)&amp;" of "</f>
        <v xml:space="preserve">Page 5 of </v>
      </c>
      <c r="P429" s="650">
        <f>COUNT(Q$8:Q$56657)</f>
        <v>10</v>
      </c>
      <c r="Q429" s="173">
        <v>1</v>
      </c>
    </row>
    <row r="430" spans="1:17">
      <c r="B430" s="346"/>
      <c r="C430" s="313"/>
      <c r="D430" s="534"/>
      <c r="E430" s="313"/>
      <c r="F430" s="313"/>
      <c r="G430" s="313"/>
      <c r="H430" s="313"/>
      <c r="I430" s="704"/>
      <c r="J430" s="313"/>
      <c r="K430" s="423"/>
    </row>
    <row r="431" spans="1:17" ht="18">
      <c r="B431" s="653" t="s">
        <v>474</v>
      </c>
      <c r="C431" s="735" t="s">
        <v>95</v>
      </c>
      <c r="D431" s="534"/>
      <c r="E431" s="313"/>
      <c r="F431" s="313"/>
      <c r="G431" s="313"/>
      <c r="H431" s="313"/>
      <c r="I431" s="704"/>
      <c r="J431" s="704"/>
      <c r="K431" s="726"/>
      <c r="L431" s="704"/>
      <c r="M431" s="704"/>
      <c r="N431" s="704"/>
      <c r="O431" s="704"/>
    </row>
    <row r="432" spans="1:17" ht="18.75">
      <c r="B432" s="653"/>
      <c r="C432" s="652"/>
      <c r="D432" s="534"/>
      <c r="E432" s="313"/>
      <c r="F432" s="313"/>
      <c r="G432" s="313"/>
      <c r="H432" s="313"/>
      <c r="I432" s="704"/>
      <c r="J432" s="704"/>
      <c r="K432" s="726"/>
      <c r="L432" s="704"/>
      <c r="M432" s="704"/>
      <c r="N432" s="704"/>
      <c r="O432" s="704"/>
    </row>
    <row r="433" spans="1:16" ht="18.75">
      <c r="B433" s="653"/>
      <c r="C433" s="652" t="s">
        <v>96</v>
      </c>
      <c r="D433" s="534"/>
      <c r="E433" s="313"/>
      <c r="F433" s="313"/>
      <c r="G433" s="313"/>
      <c r="H433" s="313"/>
      <c r="I433" s="704"/>
      <c r="J433" s="704"/>
      <c r="K433" s="726"/>
      <c r="L433" s="704"/>
      <c r="M433" s="704"/>
      <c r="N433" s="704"/>
      <c r="O433" s="704"/>
    </row>
    <row r="434" spans="1:16" ht="15.75" thickBot="1">
      <c r="C434" s="240"/>
      <c r="D434" s="534"/>
      <c r="E434" s="313"/>
      <c r="F434" s="313"/>
      <c r="G434" s="313"/>
      <c r="H434" s="313"/>
      <c r="I434" s="704"/>
      <c r="J434" s="704"/>
      <c r="K434" s="726"/>
      <c r="L434" s="704"/>
      <c r="M434" s="704"/>
      <c r="N434" s="704"/>
      <c r="O434" s="704"/>
    </row>
    <row r="435" spans="1:16" ht="15.75">
      <c r="C435" s="655" t="s">
        <v>97</v>
      </c>
      <c r="D435" s="534"/>
      <c r="E435" s="313"/>
      <c r="F435" s="313"/>
      <c r="G435" s="313"/>
      <c r="H435" s="802"/>
      <c r="I435" s="313" t="s">
        <v>76</v>
      </c>
      <c r="J435" s="313"/>
      <c r="K435" s="423"/>
      <c r="L435" s="831">
        <f>+J441</f>
        <v>2021</v>
      </c>
      <c r="M435" s="812" t="s">
        <v>54</v>
      </c>
      <c r="N435" s="812" t="s">
        <v>55</v>
      </c>
      <c r="O435" s="813" t="s">
        <v>57</v>
      </c>
    </row>
    <row r="436" spans="1:16" ht="15.75">
      <c r="C436" s="655"/>
      <c r="D436" s="534"/>
      <c r="E436" s="313"/>
      <c r="F436" s="313"/>
      <c r="H436" s="313"/>
      <c r="I436" s="740"/>
      <c r="J436" s="740"/>
      <c r="K436" s="741"/>
      <c r="L436" s="832" t="s">
        <v>245</v>
      </c>
      <c r="M436" s="833">
        <f>VLOOKUP(J441,C448:P507,10)</f>
        <v>11936440.649508858</v>
      </c>
      <c r="N436" s="833">
        <f>VLOOKUP(J441,C448:P507,12)</f>
        <v>11936440.649508858</v>
      </c>
      <c r="O436" s="834">
        <f>+N436-M436</f>
        <v>0</v>
      </c>
    </row>
    <row r="437" spans="1:16" ht="12.95" customHeight="1">
      <c r="C437" s="745" t="s">
        <v>98</v>
      </c>
      <c r="D437" s="1557" t="s">
        <v>821</v>
      </c>
      <c r="E437" s="1557"/>
      <c r="F437" s="1557"/>
      <c r="G437" s="1557"/>
      <c r="H437" s="1557"/>
      <c r="I437" s="1557"/>
      <c r="J437" s="704"/>
      <c r="K437" s="726"/>
      <c r="L437" s="832" t="s">
        <v>246</v>
      </c>
      <c r="M437" s="835">
        <f>VLOOKUP(J441,C448:P507,6)</f>
        <v>12536826.001855547</v>
      </c>
      <c r="N437" s="835">
        <f>VLOOKUP(J441,C448:P507,7)</f>
        <v>12536826.001855547</v>
      </c>
      <c r="O437" s="836">
        <f>+N437-M437</f>
        <v>0</v>
      </c>
    </row>
    <row r="438" spans="1:16" ht="13.5" thickBot="1">
      <c r="C438" s="749"/>
      <c r="D438" s="1557"/>
      <c r="E438" s="1557"/>
      <c r="F438" s="1557"/>
      <c r="G438" s="1557"/>
      <c r="H438" s="1557"/>
      <c r="I438" s="1557"/>
      <c r="J438" s="704"/>
      <c r="K438" s="726"/>
      <c r="L438" s="768" t="s">
        <v>247</v>
      </c>
      <c r="M438" s="837">
        <f>+M437-M436</f>
        <v>600385.35234668851</v>
      </c>
      <c r="N438" s="837">
        <f>+N437-N436</f>
        <v>600385.35234668851</v>
      </c>
      <c r="O438" s="838">
        <f>+O437-O436</f>
        <v>0</v>
      </c>
    </row>
    <row r="439" spans="1:16" ht="13.5" thickBot="1">
      <c r="C439" s="752"/>
      <c r="D439" s="753"/>
      <c r="E439" s="751"/>
      <c r="F439" s="751"/>
      <c r="G439" s="751"/>
      <c r="H439" s="751"/>
      <c r="I439" s="751"/>
      <c r="J439" s="751"/>
      <c r="K439" s="754"/>
      <c r="L439" s="751"/>
      <c r="M439" s="751"/>
      <c r="N439" s="751"/>
      <c r="O439" s="751"/>
      <c r="P439" s="346"/>
    </row>
    <row r="440" spans="1:16" ht="13.5" thickBot="1">
      <c r="C440" s="755" t="s">
        <v>99</v>
      </c>
      <c r="D440" s="1403"/>
      <c r="E440" s="1403"/>
      <c r="F440" s="1403"/>
      <c r="G440" s="1403"/>
      <c r="H440" s="1403"/>
      <c r="I440" s="1403"/>
      <c r="J440" s="1403"/>
      <c r="K440" s="758"/>
      <c r="P440" s="759"/>
    </row>
    <row r="441" spans="1:16" ht="15">
      <c r="A441" s="1340"/>
      <c r="C441" s="760" t="s">
        <v>77</v>
      </c>
      <c r="D441" s="804">
        <v>99133366.299999997</v>
      </c>
      <c r="E441" s="721" t="s">
        <v>78</v>
      </c>
      <c r="H441" s="761"/>
      <c r="I441" s="761"/>
      <c r="J441" s="762">
        <f>$J$93</f>
        <v>2021</v>
      </c>
      <c r="K441" s="550"/>
      <c r="L441" s="1558" t="s">
        <v>79</v>
      </c>
      <c r="M441" s="1558"/>
      <c r="N441" s="1558"/>
      <c r="O441" s="1558"/>
      <c r="P441" s="423"/>
    </row>
    <row r="442" spans="1:16">
      <c r="C442" s="760" t="s">
        <v>80</v>
      </c>
      <c r="D442" s="1307">
        <v>2016</v>
      </c>
      <c r="E442" s="760" t="s">
        <v>81</v>
      </c>
      <c r="F442" s="761"/>
      <c r="G442" s="761"/>
      <c r="I442" s="173"/>
      <c r="J442" s="806">
        <f>IF(H435="",0,$F$17)</f>
        <v>0</v>
      </c>
      <c r="K442" s="763"/>
      <c r="L442" s="726" t="s">
        <v>287</v>
      </c>
      <c r="P442" s="423"/>
    </row>
    <row r="443" spans="1:16">
      <c r="C443" s="760" t="s">
        <v>82</v>
      </c>
      <c r="D443" s="804">
        <v>6</v>
      </c>
      <c r="E443" s="760" t="s">
        <v>83</v>
      </c>
      <c r="F443" s="761"/>
      <c r="G443" s="761"/>
      <c r="I443" s="173"/>
      <c r="J443" s="764">
        <f>$F$70</f>
        <v>0.11565015966136639</v>
      </c>
      <c r="K443" s="765"/>
      <c r="L443" s="313" t="str">
        <f>"          INPUT TRUE-UP ARR (WITH &amp; WITHOUT INCENTIVES) FROM EACH PRIOR YEAR"</f>
        <v xml:space="preserve">          INPUT TRUE-UP ARR (WITH &amp; WITHOUT INCENTIVES) FROM EACH PRIOR YEAR</v>
      </c>
      <c r="P443" s="423"/>
    </row>
    <row r="444" spans="1:16">
      <c r="C444" s="760" t="s">
        <v>84</v>
      </c>
      <c r="D444" s="766">
        <f>H$79</f>
        <v>39</v>
      </c>
      <c r="E444" s="760" t="s">
        <v>85</v>
      </c>
      <c r="F444" s="761"/>
      <c r="G444" s="761"/>
      <c r="I444" s="173"/>
      <c r="J444" s="764">
        <f>IF(H435="",+J443,$F$69)</f>
        <v>0.11565015966136639</v>
      </c>
      <c r="K444" s="767"/>
      <c r="L444" s="313" t="s">
        <v>167</v>
      </c>
      <c r="M444" s="767"/>
      <c r="N444" s="767"/>
      <c r="O444" s="767"/>
      <c r="P444" s="423"/>
    </row>
    <row r="445" spans="1:16" ht="13.5" thickBot="1">
      <c r="C445" s="760" t="s">
        <v>86</v>
      </c>
      <c r="D445" s="1331" t="s">
        <v>814</v>
      </c>
      <c r="E445" s="768" t="s">
        <v>87</v>
      </c>
      <c r="F445" s="769"/>
      <c r="G445" s="769"/>
      <c r="H445" s="770"/>
      <c r="I445" s="770"/>
      <c r="J445" s="748">
        <f>IF(D441=0,0,D441/D444)</f>
        <v>2541881.1871794872</v>
      </c>
      <c r="K445" s="726"/>
      <c r="L445" s="726" t="s">
        <v>168</v>
      </c>
      <c r="M445" s="726"/>
      <c r="N445" s="726"/>
      <c r="O445" s="726"/>
      <c r="P445" s="423"/>
    </row>
    <row r="446" spans="1:16" ht="38.25">
      <c r="B446" s="841"/>
      <c r="C446" s="771" t="s">
        <v>77</v>
      </c>
      <c r="D446" s="772" t="s">
        <v>88</v>
      </c>
      <c r="E446" s="773" t="s">
        <v>89</v>
      </c>
      <c r="F446" s="772" t="s">
        <v>90</v>
      </c>
      <c r="G446" s="772" t="s">
        <v>248</v>
      </c>
      <c r="H446" s="773" t="s">
        <v>161</v>
      </c>
      <c r="I446" s="774" t="s">
        <v>161</v>
      </c>
      <c r="J446" s="771" t="s">
        <v>100</v>
      </c>
      <c r="K446" s="775"/>
      <c r="L446" s="773" t="s">
        <v>163</v>
      </c>
      <c r="M446" s="773" t="s">
        <v>169</v>
      </c>
      <c r="N446" s="773" t="s">
        <v>163</v>
      </c>
      <c r="O446" s="773" t="s">
        <v>171</v>
      </c>
      <c r="P446" s="773" t="s">
        <v>91</v>
      </c>
    </row>
    <row r="447" spans="1:16" ht="13.5" thickBot="1">
      <c r="C447" s="777" t="s">
        <v>477</v>
      </c>
      <c r="D447" s="778" t="s">
        <v>478</v>
      </c>
      <c r="E447" s="777" t="s">
        <v>371</v>
      </c>
      <c r="F447" s="778" t="s">
        <v>478</v>
      </c>
      <c r="G447" s="778" t="s">
        <v>478</v>
      </c>
      <c r="H447" s="779" t="s">
        <v>103</v>
      </c>
      <c r="I447" s="780" t="s">
        <v>105</v>
      </c>
      <c r="J447" s="781" t="s">
        <v>17</v>
      </c>
      <c r="K447" s="782"/>
      <c r="L447" s="779" t="s">
        <v>92</v>
      </c>
      <c r="M447" s="779" t="s">
        <v>92</v>
      </c>
      <c r="N447" s="779" t="s">
        <v>265</v>
      </c>
      <c r="O447" s="779" t="s">
        <v>265</v>
      </c>
      <c r="P447" s="779" t="s">
        <v>265</v>
      </c>
    </row>
    <row r="448" spans="1:16">
      <c r="C448" s="784">
        <f>IF(D442= "","-",D442)</f>
        <v>2016</v>
      </c>
      <c r="D448" s="732">
        <f>+D441</f>
        <v>99133366.299999997</v>
      </c>
      <c r="E448" s="790">
        <f>+J445/12*(12-D443)</f>
        <v>1270940.5935897436</v>
      </c>
      <c r="F448" s="839">
        <f t="shared" ref="F448:F507" si="35">+D448-E448</f>
        <v>97862425.706410259</v>
      </c>
      <c r="G448" s="732">
        <f>+(D448+F448)/2</f>
        <v>98497896.003205121</v>
      </c>
      <c r="H448" s="786">
        <f>+J443*G448+E448</f>
        <v>12662237.992669079</v>
      </c>
      <c r="I448" s="787">
        <f>+J444*G448+E448</f>
        <v>12662237.992669079</v>
      </c>
      <c r="J448" s="788">
        <f>+I448-H448</f>
        <v>0</v>
      </c>
      <c r="K448" s="788"/>
      <c r="L448" s="1309">
        <v>8211582</v>
      </c>
      <c r="M448" s="840">
        <f t="shared" ref="M448:M507" si="36">IF(L448&lt;&gt;0,+H448-L448,0)</f>
        <v>4450655.9926690795</v>
      </c>
      <c r="N448" s="1309">
        <v>8211582</v>
      </c>
      <c r="O448" s="840">
        <f t="shared" ref="O448:O507" si="37">IF(N448&lt;&gt;0,+I448-N448,0)</f>
        <v>4450655.9926690795</v>
      </c>
      <c r="P448" s="840">
        <f t="shared" ref="P448:P507" si="38">+O448-M448</f>
        <v>0</v>
      </c>
    </row>
    <row r="449" spans="3:16">
      <c r="C449" s="784">
        <f>IF(D442="","-",+C448+1)</f>
        <v>2017</v>
      </c>
      <c r="D449" s="732">
        <f t="shared" ref="D449:D501" si="39">F448</f>
        <v>97862425.706410259</v>
      </c>
      <c r="E449" s="785">
        <f>IF(D449&gt;$J$445,$J$445,D449)</f>
        <v>2541881.1871794872</v>
      </c>
      <c r="F449" s="785">
        <f t="shared" si="35"/>
        <v>95320544.519230768</v>
      </c>
      <c r="G449" s="732">
        <f t="shared" ref="G449:G507" si="40">+(D449+F449)/2</f>
        <v>96591485.112820506</v>
      </c>
      <c r="H449" s="790">
        <f>+J443*G449+E449</f>
        <v>13712701.862405675</v>
      </c>
      <c r="I449" s="791">
        <f>+J444*G449+E449</f>
        <v>13712701.862405675</v>
      </c>
      <c r="J449" s="788">
        <f>+I449-H449</f>
        <v>0</v>
      </c>
      <c r="K449" s="788"/>
      <c r="L449" s="1310">
        <v>9400319</v>
      </c>
      <c r="M449" s="788">
        <f t="shared" si="36"/>
        <v>4312382.8624056745</v>
      </c>
      <c r="N449" s="1310">
        <v>9400319</v>
      </c>
      <c r="O449" s="788">
        <f t="shared" si="37"/>
        <v>4312382.8624056745</v>
      </c>
      <c r="P449" s="788">
        <f t="shared" si="38"/>
        <v>0</v>
      </c>
    </row>
    <row r="450" spans="3:16">
      <c r="C450" s="784">
        <f>IF(D442="","-",+C449+1)</f>
        <v>2018</v>
      </c>
      <c r="D450" s="1402">
        <f t="shared" si="39"/>
        <v>95320544.519230768</v>
      </c>
      <c r="E450" s="785">
        <f t="shared" ref="E450:E507" si="41">IF(D450&gt;$J$445,$J$445,D450)</f>
        <v>2541881.1871794872</v>
      </c>
      <c r="F450" s="785">
        <f t="shared" si="35"/>
        <v>92778663.332051277</v>
      </c>
      <c r="G450" s="732">
        <f t="shared" si="40"/>
        <v>94049603.92564103</v>
      </c>
      <c r="H450" s="790">
        <f>+J443*G450+E450</f>
        <v>13418732.897268144</v>
      </c>
      <c r="I450" s="791">
        <f>+J444*G450+E450</f>
        <v>13418732.897268144</v>
      </c>
      <c r="J450" s="788">
        <f t="shared" ref="J450:J507" si="42">+I450-H450</f>
        <v>0</v>
      </c>
      <c r="K450" s="788"/>
      <c r="L450" s="1310">
        <v>11231831</v>
      </c>
      <c r="M450" s="788">
        <f t="shared" si="36"/>
        <v>2186901.8972681444</v>
      </c>
      <c r="N450" s="1310">
        <v>11231831</v>
      </c>
      <c r="O450" s="788">
        <f t="shared" si="37"/>
        <v>2186901.8972681444</v>
      </c>
      <c r="P450" s="788">
        <f t="shared" si="38"/>
        <v>0</v>
      </c>
    </row>
    <row r="451" spans="3:16">
      <c r="C451" s="784">
        <f>IF(D442="","-",+C450+1)</f>
        <v>2019</v>
      </c>
      <c r="D451" s="732">
        <f t="shared" si="39"/>
        <v>92778663.332051277</v>
      </c>
      <c r="E451" s="785">
        <f t="shared" si="41"/>
        <v>2541881.1871794872</v>
      </c>
      <c r="F451" s="785">
        <f t="shared" si="35"/>
        <v>90236782.144871786</v>
      </c>
      <c r="G451" s="732">
        <f t="shared" si="40"/>
        <v>91507722.738461524</v>
      </c>
      <c r="H451" s="790">
        <f>+J443*G451+E451</f>
        <v>13124763.932130611</v>
      </c>
      <c r="I451" s="791">
        <f>+J444*G451+E451</f>
        <v>13124763.932130611</v>
      </c>
      <c r="J451" s="788">
        <f t="shared" si="42"/>
        <v>0</v>
      </c>
      <c r="K451" s="788"/>
      <c r="L451" s="1310">
        <v>11864825</v>
      </c>
      <c r="M451" s="788">
        <f t="shared" si="36"/>
        <v>1259938.9321306106</v>
      </c>
      <c r="N451" s="1310">
        <v>11864825</v>
      </c>
      <c r="O451" s="788">
        <f t="shared" si="37"/>
        <v>1259938.9321306106</v>
      </c>
      <c r="P451" s="788">
        <f t="shared" si="38"/>
        <v>0</v>
      </c>
    </row>
    <row r="452" spans="3:16">
      <c r="C452" s="784">
        <f>IF(D442="","-",+C451+1)</f>
        <v>2020</v>
      </c>
      <c r="D452" s="1332">
        <f t="shared" si="39"/>
        <v>90236782.144871786</v>
      </c>
      <c r="E452" s="785">
        <f t="shared" si="41"/>
        <v>2541881.1871794872</v>
      </c>
      <c r="F452" s="785">
        <f t="shared" si="35"/>
        <v>87694900.957692295</v>
      </c>
      <c r="G452" s="732">
        <f t="shared" si="40"/>
        <v>88965841.551282048</v>
      </c>
      <c r="H452" s="790">
        <f>+J443*G452+E452</f>
        <v>12830794.96699308</v>
      </c>
      <c r="I452" s="791">
        <f>+J444*G452+E452</f>
        <v>12830794.96699308</v>
      </c>
      <c r="J452" s="788">
        <f t="shared" si="42"/>
        <v>0</v>
      </c>
      <c r="K452" s="788"/>
      <c r="L452" s="1310">
        <v>12033066.013124375</v>
      </c>
      <c r="M452" s="788">
        <f t="shared" si="36"/>
        <v>797728.95386870578</v>
      </c>
      <c r="N452" s="1310">
        <v>12033066.013124375</v>
      </c>
      <c r="O452" s="788">
        <f t="shared" si="37"/>
        <v>797728.95386870578</v>
      </c>
      <c r="P452" s="788">
        <f t="shared" si="38"/>
        <v>0</v>
      </c>
    </row>
    <row r="453" spans="3:16">
      <c r="C453" s="784">
        <f>IF(D442="","-",+C452+1)</f>
        <v>2021</v>
      </c>
      <c r="D453" s="1332">
        <f t="shared" si="39"/>
        <v>87694900.957692295</v>
      </c>
      <c r="E453" s="785">
        <f t="shared" si="41"/>
        <v>2541881.1871794872</v>
      </c>
      <c r="F453" s="785">
        <f t="shared" si="35"/>
        <v>85153019.770512804</v>
      </c>
      <c r="G453" s="732">
        <f t="shared" si="40"/>
        <v>86423960.364102542</v>
      </c>
      <c r="H453" s="790">
        <f>+J443*G453+E453</f>
        <v>12536826.001855547</v>
      </c>
      <c r="I453" s="791">
        <f>+J444*G453+E453</f>
        <v>12536826.001855547</v>
      </c>
      <c r="J453" s="788">
        <f t="shared" si="42"/>
        <v>0</v>
      </c>
      <c r="K453" s="788"/>
      <c r="L453" s="1310">
        <v>11936440.649508858</v>
      </c>
      <c r="M453" s="788">
        <f t="shared" si="36"/>
        <v>600385.35234668851</v>
      </c>
      <c r="N453" s="1310">
        <v>11936440.649508858</v>
      </c>
      <c r="O453" s="788">
        <f t="shared" si="37"/>
        <v>600385.35234668851</v>
      </c>
      <c r="P453" s="788">
        <f t="shared" si="38"/>
        <v>0</v>
      </c>
    </row>
    <row r="454" spans="3:16">
      <c r="C454" s="784">
        <f>IF(D442="","-",+C453+1)</f>
        <v>2022</v>
      </c>
      <c r="D454" s="1332">
        <f t="shared" si="39"/>
        <v>85153019.770512804</v>
      </c>
      <c r="E454" s="785">
        <f t="shared" si="41"/>
        <v>2541881.1871794872</v>
      </c>
      <c r="F454" s="785">
        <f t="shared" si="35"/>
        <v>82611138.583333313</v>
      </c>
      <c r="G454" s="732">
        <f t="shared" si="40"/>
        <v>83882079.176923066</v>
      </c>
      <c r="H454" s="790">
        <f>+J443*G454+E454</f>
        <v>12242857.036718016</v>
      </c>
      <c r="I454" s="791">
        <f>+J444*G454+E454</f>
        <v>12242857.036718016</v>
      </c>
      <c r="J454" s="788">
        <f t="shared" si="42"/>
        <v>0</v>
      </c>
      <c r="K454" s="788"/>
      <c r="L454" s="1310">
        <v>0</v>
      </c>
      <c r="M454" s="788">
        <f t="shared" si="36"/>
        <v>0</v>
      </c>
      <c r="N454" s="1310">
        <v>0</v>
      </c>
      <c r="O454" s="788">
        <f t="shared" si="37"/>
        <v>0</v>
      </c>
      <c r="P454" s="788">
        <f t="shared" si="38"/>
        <v>0</v>
      </c>
    </row>
    <row r="455" spans="3:16">
      <c r="C455" s="784">
        <f>IF(D442="","-",+C454+1)</f>
        <v>2023</v>
      </c>
      <c r="D455" s="732">
        <f t="shared" si="39"/>
        <v>82611138.583333313</v>
      </c>
      <c r="E455" s="785">
        <f t="shared" si="41"/>
        <v>2541881.1871794872</v>
      </c>
      <c r="F455" s="785">
        <f t="shared" si="35"/>
        <v>80069257.396153823</v>
      </c>
      <c r="G455" s="732">
        <f t="shared" si="40"/>
        <v>81340197.989743561</v>
      </c>
      <c r="H455" s="790">
        <f>+J443*G455+E455</f>
        <v>11948888.071580485</v>
      </c>
      <c r="I455" s="791">
        <f>+J444*G455+E455</f>
        <v>11948888.071580485</v>
      </c>
      <c r="J455" s="788">
        <f t="shared" si="42"/>
        <v>0</v>
      </c>
      <c r="K455" s="788"/>
      <c r="L455" s="1310"/>
      <c r="M455" s="788">
        <f t="shared" si="36"/>
        <v>0</v>
      </c>
      <c r="N455" s="1310"/>
      <c r="O455" s="788">
        <f t="shared" si="37"/>
        <v>0</v>
      </c>
      <c r="P455" s="788">
        <f t="shared" si="38"/>
        <v>0</v>
      </c>
    </row>
    <row r="456" spans="3:16">
      <c r="C456" s="784">
        <f>IF(D442="","-",+C455+1)</f>
        <v>2024</v>
      </c>
      <c r="D456" s="732">
        <f t="shared" si="39"/>
        <v>80069257.396153823</v>
      </c>
      <c r="E456" s="785">
        <f t="shared" si="41"/>
        <v>2541881.1871794872</v>
      </c>
      <c r="F456" s="785">
        <f t="shared" si="35"/>
        <v>77527376.208974332</v>
      </c>
      <c r="G456" s="732">
        <f t="shared" si="40"/>
        <v>78798316.802564085</v>
      </c>
      <c r="H456" s="790">
        <f>+J443*G456+E456</f>
        <v>11654919.106442954</v>
      </c>
      <c r="I456" s="791">
        <f>+J444*G456+E456</f>
        <v>11654919.106442954</v>
      </c>
      <c r="J456" s="788">
        <f t="shared" si="42"/>
        <v>0</v>
      </c>
      <c r="K456" s="788"/>
      <c r="L456" s="1310"/>
      <c r="M456" s="788">
        <f t="shared" si="36"/>
        <v>0</v>
      </c>
      <c r="N456" s="1310"/>
      <c r="O456" s="788">
        <f t="shared" si="37"/>
        <v>0</v>
      </c>
      <c r="P456" s="788">
        <f t="shared" si="38"/>
        <v>0</v>
      </c>
    </row>
    <row r="457" spans="3:16">
      <c r="C457" s="784">
        <f>IF(D442="","-",+C456+1)</f>
        <v>2025</v>
      </c>
      <c r="D457" s="732">
        <f t="shared" si="39"/>
        <v>77527376.208974332</v>
      </c>
      <c r="E457" s="785">
        <f t="shared" si="41"/>
        <v>2541881.1871794872</v>
      </c>
      <c r="F457" s="785">
        <f t="shared" si="35"/>
        <v>74985495.021794841</v>
      </c>
      <c r="G457" s="732">
        <f t="shared" si="40"/>
        <v>76256435.615384579</v>
      </c>
      <c r="H457" s="790">
        <f>+J443*G457+E457</f>
        <v>11360950.141305421</v>
      </c>
      <c r="I457" s="791">
        <f>+J444*G457+E457</f>
        <v>11360950.141305421</v>
      </c>
      <c r="J457" s="788">
        <f t="shared" si="42"/>
        <v>0</v>
      </c>
      <c r="K457" s="788"/>
      <c r="L457" s="1310"/>
      <c r="M457" s="788">
        <f t="shared" si="36"/>
        <v>0</v>
      </c>
      <c r="N457" s="1310"/>
      <c r="O457" s="788">
        <f t="shared" si="37"/>
        <v>0</v>
      </c>
      <c r="P457" s="788">
        <f t="shared" si="38"/>
        <v>0</v>
      </c>
    </row>
    <row r="458" spans="3:16">
      <c r="C458" s="784">
        <f>IF(D442="","-",+C457+1)</f>
        <v>2026</v>
      </c>
      <c r="D458" s="732">
        <f t="shared" si="39"/>
        <v>74985495.021794841</v>
      </c>
      <c r="E458" s="785">
        <f t="shared" si="41"/>
        <v>2541881.1871794872</v>
      </c>
      <c r="F458" s="785">
        <f t="shared" si="35"/>
        <v>72443613.83461535</v>
      </c>
      <c r="G458" s="732">
        <f t="shared" si="40"/>
        <v>73714554.428205103</v>
      </c>
      <c r="H458" s="790">
        <f>+J443*G458+E458</f>
        <v>11066981.17616789</v>
      </c>
      <c r="I458" s="791">
        <f>+J444*G458+E458</f>
        <v>11066981.17616789</v>
      </c>
      <c r="J458" s="788">
        <f t="shared" si="42"/>
        <v>0</v>
      </c>
      <c r="K458" s="788"/>
      <c r="L458" s="1310"/>
      <c r="M458" s="788">
        <f t="shared" si="36"/>
        <v>0</v>
      </c>
      <c r="N458" s="1310"/>
      <c r="O458" s="788">
        <f t="shared" si="37"/>
        <v>0</v>
      </c>
      <c r="P458" s="788">
        <f t="shared" si="38"/>
        <v>0</v>
      </c>
    </row>
    <row r="459" spans="3:16">
      <c r="C459" s="784">
        <f>IF(D442="","-",+C458+1)</f>
        <v>2027</v>
      </c>
      <c r="D459" s="732">
        <f t="shared" si="39"/>
        <v>72443613.83461535</v>
      </c>
      <c r="E459" s="785">
        <f t="shared" si="41"/>
        <v>2541881.1871794872</v>
      </c>
      <c r="F459" s="785">
        <f t="shared" si="35"/>
        <v>69901732.647435859</v>
      </c>
      <c r="G459" s="732">
        <f t="shared" si="40"/>
        <v>71172673.241025597</v>
      </c>
      <c r="H459" s="790">
        <f>+J443*G459+E459</f>
        <v>10773012.211030357</v>
      </c>
      <c r="I459" s="791">
        <f>+J444*G459+E459</f>
        <v>10773012.211030357</v>
      </c>
      <c r="J459" s="788">
        <f t="shared" si="42"/>
        <v>0</v>
      </c>
      <c r="K459" s="788"/>
      <c r="L459" s="1310"/>
      <c r="M459" s="788">
        <f t="shared" si="36"/>
        <v>0</v>
      </c>
      <c r="N459" s="1310"/>
      <c r="O459" s="788">
        <f t="shared" si="37"/>
        <v>0</v>
      </c>
      <c r="P459" s="788">
        <f t="shared" si="38"/>
        <v>0</v>
      </c>
    </row>
    <row r="460" spans="3:16">
      <c r="C460" s="784">
        <f>IF(D442="","-",+C459+1)</f>
        <v>2028</v>
      </c>
      <c r="D460" s="732">
        <f t="shared" si="39"/>
        <v>69901732.647435859</v>
      </c>
      <c r="E460" s="785">
        <f t="shared" si="41"/>
        <v>2541881.1871794872</v>
      </c>
      <c r="F460" s="785">
        <f t="shared" si="35"/>
        <v>67359851.460256368</v>
      </c>
      <c r="G460" s="732">
        <f t="shared" si="40"/>
        <v>68630792.053846121</v>
      </c>
      <c r="H460" s="790">
        <f>+J443*G460+E460</f>
        <v>10479043.245892826</v>
      </c>
      <c r="I460" s="791">
        <f>+J444*G460+E460</f>
        <v>10479043.245892826</v>
      </c>
      <c r="J460" s="788">
        <f t="shared" si="42"/>
        <v>0</v>
      </c>
      <c r="K460" s="788"/>
      <c r="L460" s="1310"/>
      <c r="M460" s="788">
        <f t="shared" si="36"/>
        <v>0</v>
      </c>
      <c r="N460" s="1310"/>
      <c r="O460" s="788">
        <f t="shared" si="37"/>
        <v>0</v>
      </c>
      <c r="P460" s="788">
        <f t="shared" si="38"/>
        <v>0</v>
      </c>
    </row>
    <row r="461" spans="3:16">
      <c r="C461" s="784">
        <f>IF(D442="","-",+C460+1)</f>
        <v>2029</v>
      </c>
      <c r="D461" s="732">
        <f t="shared" si="39"/>
        <v>67359851.460256368</v>
      </c>
      <c r="E461" s="785">
        <f t="shared" si="41"/>
        <v>2541881.1871794872</v>
      </c>
      <c r="F461" s="785">
        <f t="shared" si="35"/>
        <v>64817970.273076877</v>
      </c>
      <c r="G461" s="732">
        <f t="shared" si="40"/>
        <v>66088910.866666622</v>
      </c>
      <c r="H461" s="790">
        <f>+J443*G461+E461</f>
        <v>10185074.280755294</v>
      </c>
      <c r="I461" s="791">
        <f>+J444*G461+E461</f>
        <v>10185074.280755294</v>
      </c>
      <c r="J461" s="788">
        <f t="shared" si="42"/>
        <v>0</v>
      </c>
      <c r="K461" s="788"/>
      <c r="L461" s="1310"/>
      <c r="M461" s="788">
        <f t="shared" si="36"/>
        <v>0</v>
      </c>
      <c r="N461" s="1310"/>
      <c r="O461" s="788">
        <f t="shared" si="37"/>
        <v>0</v>
      </c>
      <c r="P461" s="788">
        <f t="shared" si="38"/>
        <v>0</v>
      </c>
    </row>
    <row r="462" spans="3:16">
      <c r="C462" s="784">
        <f>IF(D442="","-",+C461+1)</f>
        <v>2030</v>
      </c>
      <c r="D462" s="732">
        <f t="shared" si="39"/>
        <v>64817970.273076877</v>
      </c>
      <c r="E462" s="785">
        <f t="shared" si="41"/>
        <v>2541881.1871794872</v>
      </c>
      <c r="F462" s="785">
        <f t="shared" si="35"/>
        <v>62276089.085897386</v>
      </c>
      <c r="G462" s="732">
        <f t="shared" si="40"/>
        <v>63547029.679487132</v>
      </c>
      <c r="H462" s="790">
        <f>+J443*G462+E462</f>
        <v>9891105.3156177625</v>
      </c>
      <c r="I462" s="791">
        <f>+J444*G462+E462</f>
        <v>9891105.3156177625</v>
      </c>
      <c r="J462" s="788">
        <f t="shared" si="42"/>
        <v>0</v>
      </c>
      <c r="K462" s="788"/>
      <c r="L462" s="1310"/>
      <c r="M462" s="788">
        <f t="shared" si="36"/>
        <v>0</v>
      </c>
      <c r="N462" s="1310"/>
      <c r="O462" s="788">
        <f t="shared" si="37"/>
        <v>0</v>
      </c>
      <c r="P462" s="788">
        <f t="shared" si="38"/>
        <v>0</v>
      </c>
    </row>
    <row r="463" spans="3:16">
      <c r="C463" s="784">
        <f>IF(D442="","-",+C462+1)</f>
        <v>2031</v>
      </c>
      <c r="D463" s="732">
        <f t="shared" si="39"/>
        <v>62276089.085897386</v>
      </c>
      <c r="E463" s="785">
        <f t="shared" si="41"/>
        <v>2541881.1871794872</v>
      </c>
      <c r="F463" s="785">
        <f t="shared" si="35"/>
        <v>59734207.898717895</v>
      </c>
      <c r="G463" s="732">
        <f t="shared" si="40"/>
        <v>61005148.492307641</v>
      </c>
      <c r="H463" s="790">
        <f>+J443*G463+E463</f>
        <v>9597136.3504802324</v>
      </c>
      <c r="I463" s="791">
        <f>+J444*G463+E463</f>
        <v>9597136.3504802324</v>
      </c>
      <c r="J463" s="788">
        <f t="shared" si="42"/>
        <v>0</v>
      </c>
      <c r="K463" s="788"/>
      <c r="L463" s="1310"/>
      <c r="M463" s="788">
        <f t="shared" si="36"/>
        <v>0</v>
      </c>
      <c r="N463" s="1310"/>
      <c r="O463" s="788">
        <f t="shared" si="37"/>
        <v>0</v>
      </c>
      <c r="P463" s="788">
        <f t="shared" si="38"/>
        <v>0</v>
      </c>
    </row>
    <row r="464" spans="3:16">
      <c r="C464" s="784">
        <f>IF(D442="","-",+C463+1)</f>
        <v>2032</v>
      </c>
      <c r="D464" s="732">
        <f t="shared" si="39"/>
        <v>59734207.898717895</v>
      </c>
      <c r="E464" s="785">
        <f t="shared" si="41"/>
        <v>2541881.1871794872</v>
      </c>
      <c r="F464" s="785">
        <f t="shared" si="35"/>
        <v>57192326.711538404</v>
      </c>
      <c r="G464" s="732">
        <f t="shared" si="40"/>
        <v>58463267.30512815</v>
      </c>
      <c r="H464" s="790">
        <f>+J443*G464+E464</f>
        <v>9303167.3853426985</v>
      </c>
      <c r="I464" s="791">
        <f>+J444*G464+E464</f>
        <v>9303167.3853426985</v>
      </c>
      <c r="J464" s="788">
        <f t="shared" si="42"/>
        <v>0</v>
      </c>
      <c r="K464" s="788"/>
      <c r="L464" s="1310"/>
      <c r="M464" s="788">
        <f t="shared" si="36"/>
        <v>0</v>
      </c>
      <c r="N464" s="1310"/>
      <c r="O464" s="788">
        <f t="shared" si="37"/>
        <v>0</v>
      </c>
      <c r="P464" s="788">
        <f t="shared" si="38"/>
        <v>0</v>
      </c>
    </row>
    <row r="465" spans="3:16">
      <c r="C465" s="784">
        <f>IF(D442="","-",+C464+1)</f>
        <v>2033</v>
      </c>
      <c r="D465" s="732">
        <f t="shared" si="39"/>
        <v>57192326.711538404</v>
      </c>
      <c r="E465" s="785">
        <f t="shared" si="41"/>
        <v>2541881.1871794872</v>
      </c>
      <c r="F465" s="785">
        <f t="shared" si="35"/>
        <v>54650445.524358913</v>
      </c>
      <c r="G465" s="732">
        <f t="shared" si="40"/>
        <v>55921386.117948659</v>
      </c>
      <c r="H465" s="790">
        <f>+J443*G465+E465</f>
        <v>9009198.4202051684</v>
      </c>
      <c r="I465" s="791">
        <f>+J444*G465+E465</f>
        <v>9009198.4202051684</v>
      </c>
      <c r="J465" s="788">
        <f t="shared" si="42"/>
        <v>0</v>
      </c>
      <c r="K465" s="788"/>
      <c r="L465" s="1310"/>
      <c r="M465" s="788">
        <f t="shared" si="36"/>
        <v>0</v>
      </c>
      <c r="N465" s="1310"/>
      <c r="O465" s="788">
        <f t="shared" si="37"/>
        <v>0</v>
      </c>
      <c r="P465" s="788">
        <f t="shared" si="38"/>
        <v>0</v>
      </c>
    </row>
    <row r="466" spans="3:16">
      <c r="C466" s="784">
        <f>IF(D442="","-",+C465+1)</f>
        <v>2034</v>
      </c>
      <c r="D466" s="732">
        <f t="shared" si="39"/>
        <v>54650445.524358913</v>
      </c>
      <c r="E466" s="785">
        <f t="shared" si="41"/>
        <v>2541881.1871794872</v>
      </c>
      <c r="F466" s="785">
        <f t="shared" si="35"/>
        <v>52108564.337179422</v>
      </c>
      <c r="G466" s="732">
        <f t="shared" si="40"/>
        <v>53379504.930769168</v>
      </c>
      <c r="H466" s="790">
        <f>+J443*G466+E466</f>
        <v>8715229.4550676364</v>
      </c>
      <c r="I466" s="791">
        <f>+J444*G466+E466</f>
        <v>8715229.4550676364</v>
      </c>
      <c r="J466" s="788">
        <f t="shared" si="42"/>
        <v>0</v>
      </c>
      <c r="K466" s="788"/>
      <c r="L466" s="1310"/>
      <c r="M466" s="788">
        <f t="shared" si="36"/>
        <v>0</v>
      </c>
      <c r="N466" s="1310"/>
      <c r="O466" s="788">
        <f t="shared" si="37"/>
        <v>0</v>
      </c>
      <c r="P466" s="788">
        <f t="shared" si="38"/>
        <v>0</v>
      </c>
    </row>
    <row r="467" spans="3:16">
      <c r="C467" s="784">
        <f>IF(D442="","-",+C466+1)</f>
        <v>2035</v>
      </c>
      <c r="D467" s="732">
        <f t="shared" si="39"/>
        <v>52108564.337179422</v>
      </c>
      <c r="E467" s="785">
        <f t="shared" si="41"/>
        <v>2541881.1871794872</v>
      </c>
      <c r="F467" s="785">
        <f t="shared" si="35"/>
        <v>49566683.149999931</v>
      </c>
      <c r="G467" s="732">
        <f t="shared" si="40"/>
        <v>50837623.743589677</v>
      </c>
      <c r="H467" s="790">
        <f>+J443*G467+E467</f>
        <v>8421260.4899301045</v>
      </c>
      <c r="I467" s="791">
        <f>+J444*G467+E467</f>
        <v>8421260.4899301045</v>
      </c>
      <c r="J467" s="788">
        <f t="shared" si="42"/>
        <v>0</v>
      </c>
      <c r="K467" s="788"/>
      <c r="L467" s="1310"/>
      <c r="M467" s="788">
        <f t="shared" si="36"/>
        <v>0</v>
      </c>
      <c r="N467" s="1310"/>
      <c r="O467" s="788">
        <f t="shared" si="37"/>
        <v>0</v>
      </c>
      <c r="P467" s="788">
        <f t="shared" si="38"/>
        <v>0</v>
      </c>
    </row>
    <row r="468" spans="3:16">
      <c r="C468" s="784">
        <f>IF(D442="","-",+C467+1)</f>
        <v>2036</v>
      </c>
      <c r="D468" s="732">
        <f t="shared" si="39"/>
        <v>49566683.149999931</v>
      </c>
      <c r="E468" s="785">
        <f t="shared" si="41"/>
        <v>2541881.1871794872</v>
      </c>
      <c r="F468" s="785">
        <f t="shared" si="35"/>
        <v>47024801.962820441</v>
      </c>
      <c r="G468" s="732">
        <f t="shared" si="40"/>
        <v>48295742.556410186</v>
      </c>
      <c r="H468" s="790">
        <f>+J443*G468+E468</f>
        <v>8127291.5247925725</v>
      </c>
      <c r="I468" s="791">
        <f>+J444*G468+E468</f>
        <v>8127291.5247925725</v>
      </c>
      <c r="J468" s="788">
        <f t="shared" si="42"/>
        <v>0</v>
      </c>
      <c r="K468" s="788"/>
      <c r="L468" s="1310"/>
      <c r="M468" s="788">
        <f t="shared" si="36"/>
        <v>0</v>
      </c>
      <c r="N468" s="1310"/>
      <c r="O468" s="788">
        <f t="shared" si="37"/>
        <v>0</v>
      </c>
      <c r="P468" s="788">
        <f t="shared" si="38"/>
        <v>0</v>
      </c>
    </row>
    <row r="469" spans="3:16">
      <c r="C469" s="784">
        <f>IF(D442="","-",+C468+1)</f>
        <v>2037</v>
      </c>
      <c r="D469" s="732">
        <f t="shared" si="39"/>
        <v>47024801.962820441</v>
      </c>
      <c r="E469" s="785">
        <f t="shared" si="41"/>
        <v>2541881.1871794872</v>
      </c>
      <c r="F469" s="785">
        <f t="shared" si="35"/>
        <v>44482920.77564095</v>
      </c>
      <c r="G469" s="732">
        <f t="shared" si="40"/>
        <v>45753861.369230695</v>
      </c>
      <c r="H469" s="790">
        <f>+J443*G469+E469</f>
        <v>7833322.5596550414</v>
      </c>
      <c r="I469" s="791">
        <f>+J444*G469+E469</f>
        <v>7833322.5596550414</v>
      </c>
      <c r="J469" s="788">
        <f t="shared" si="42"/>
        <v>0</v>
      </c>
      <c r="K469" s="788"/>
      <c r="L469" s="1310"/>
      <c r="M469" s="788">
        <f t="shared" si="36"/>
        <v>0</v>
      </c>
      <c r="N469" s="1310"/>
      <c r="O469" s="788">
        <f t="shared" si="37"/>
        <v>0</v>
      </c>
      <c r="P469" s="788">
        <f t="shared" si="38"/>
        <v>0</v>
      </c>
    </row>
    <row r="470" spans="3:16">
      <c r="C470" s="784">
        <f>IF(D442="","-",+C469+1)</f>
        <v>2038</v>
      </c>
      <c r="D470" s="732">
        <f t="shared" si="39"/>
        <v>44482920.77564095</v>
      </c>
      <c r="E470" s="785">
        <f t="shared" si="41"/>
        <v>2541881.1871794872</v>
      </c>
      <c r="F470" s="785">
        <f t="shared" si="35"/>
        <v>41941039.588461459</v>
      </c>
      <c r="G470" s="732">
        <f t="shared" si="40"/>
        <v>43211980.182051204</v>
      </c>
      <c r="H470" s="790">
        <f>+J443*G470+E470</f>
        <v>7539353.5945175095</v>
      </c>
      <c r="I470" s="791">
        <f>+J444*G470+E470</f>
        <v>7539353.5945175095</v>
      </c>
      <c r="J470" s="788">
        <f t="shared" si="42"/>
        <v>0</v>
      </c>
      <c r="K470" s="788"/>
      <c r="L470" s="1310"/>
      <c r="M470" s="788">
        <f t="shared" si="36"/>
        <v>0</v>
      </c>
      <c r="N470" s="1310"/>
      <c r="O470" s="788">
        <f t="shared" si="37"/>
        <v>0</v>
      </c>
      <c r="P470" s="788">
        <f t="shared" si="38"/>
        <v>0</v>
      </c>
    </row>
    <row r="471" spans="3:16">
      <c r="C471" s="784">
        <f>IF(D442="","-",+C470+1)</f>
        <v>2039</v>
      </c>
      <c r="D471" s="732">
        <f t="shared" si="39"/>
        <v>41941039.588461459</v>
      </c>
      <c r="E471" s="785">
        <f t="shared" si="41"/>
        <v>2541881.1871794872</v>
      </c>
      <c r="F471" s="785">
        <f t="shared" si="35"/>
        <v>39399158.401281968</v>
      </c>
      <c r="G471" s="732">
        <f t="shared" si="40"/>
        <v>40670098.994871713</v>
      </c>
      <c r="H471" s="790">
        <f>+J443*G471+E471</f>
        <v>7245384.6293799775</v>
      </c>
      <c r="I471" s="791">
        <f>+J444*G471+E471</f>
        <v>7245384.6293799775</v>
      </c>
      <c r="J471" s="788">
        <f t="shared" si="42"/>
        <v>0</v>
      </c>
      <c r="K471" s="788"/>
      <c r="L471" s="1310"/>
      <c r="M471" s="788">
        <f t="shared" si="36"/>
        <v>0</v>
      </c>
      <c r="N471" s="1310"/>
      <c r="O471" s="788">
        <f t="shared" si="37"/>
        <v>0</v>
      </c>
      <c r="P471" s="788">
        <f t="shared" si="38"/>
        <v>0</v>
      </c>
    </row>
    <row r="472" spans="3:16">
      <c r="C472" s="784">
        <f>IF(D442="","-",+C471+1)</f>
        <v>2040</v>
      </c>
      <c r="D472" s="732">
        <f t="shared" si="39"/>
        <v>39399158.401281968</v>
      </c>
      <c r="E472" s="785">
        <f t="shared" si="41"/>
        <v>2541881.1871794872</v>
      </c>
      <c r="F472" s="785">
        <f t="shared" si="35"/>
        <v>36857277.214102477</v>
      </c>
      <c r="G472" s="732">
        <f t="shared" si="40"/>
        <v>38128217.807692222</v>
      </c>
      <c r="H472" s="790">
        <f>+J443*G472+E472</f>
        <v>6951415.6642424464</v>
      </c>
      <c r="I472" s="791">
        <f>+J444*G472+E472</f>
        <v>6951415.6642424464</v>
      </c>
      <c r="J472" s="788">
        <f t="shared" si="42"/>
        <v>0</v>
      </c>
      <c r="K472" s="788"/>
      <c r="L472" s="1310"/>
      <c r="M472" s="788">
        <f t="shared" si="36"/>
        <v>0</v>
      </c>
      <c r="N472" s="1310"/>
      <c r="O472" s="788">
        <f t="shared" si="37"/>
        <v>0</v>
      </c>
      <c r="P472" s="788">
        <f t="shared" si="38"/>
        <v>0</v>
      </c>
    </row>
    <row r="473" spans="3:16">
      <c r="C473" s="784">
        <f>IF(D442="","-",+C472+1)</f>
        <v>2041</v>
      </c>
      <c r="D473" s="732">
        <f t="shared" si="39"/>
        <v>36857277.214102477</v>
      </c>
      <c r="E473" s="785">
        <f t="shared" si="41"/>
        <v>2541881.1871794872</v>
      </c>
      <c r="F473" s="785">
        <f t="shared" si="35"/>
        <v>34315396.026922986</v>
      </c>
      <c r="G473" s="732">
        <f t="shared" si="40"/>
        <v>35586336.620512731</v>
      </c>
      <c r="H473" s="790">
        <f>+J443*G473+E473</f>
        <v>6657446.6991049144</v>
      </c>
      <c r="I473" s="791">
        <f>+J444*G473+E473</f>
        <v>6657446.6991049144</v>
      </c>
      <c r="J473" s="788">
        <f t="shared" si="42"/>
        <v>0</v>
      </c>
      <c r="K473" s="788"/>
      <c r="L473" s="1310"/>
      <c r="M473" s="788">
        <f t="shared" si="36"/>
        <v>0</v>
      </c>
      <c r="N473" s="1310"/>
      <c r="O473" s="788">
        <f t="shared" si="37"/>
        <v>0</v>
      </c>
      <c r="P473" s="788">
        <f t="shared" si="38"/>
        <v>0</v>
      </c>
    </row>
    <row r="474" spans="3:16">
      <c r="C474" s="784">
        <f>IF(D442="","-",+C473+1)</f>
        <v>2042</v>
      </c>
      <c r="D474" s="732">
        <f t="shared" si="39"/>
        <v>34315396.026922986</v>
      </c>
      <c r="E474" s="785">
        <f t="shared" si="41"/>
        <v>2541881.1871794872</v>
      </c>
      <c r="F474" s="785">
        <f t="shared" si="35"/>
        <v>31773514.839743499</v>
      </c>
      <c r="G474" s="732">
        <f t="shared" si="40"/>
        <v>33044455.43333324</v>
      </c>
      <c r="H474" s="790">
        <f>+J443*G474+E474</f>
        <v>6363477.7339673825</v>
      </c>
      <c r="I474" s="791">
        <f>+J444*G474+E474</f>
        <v>6363477.7339673825</v>
      </c>
      <c r="J474" s="788">
        <f t="shared" si="42"/>
        <v>0</v>
      </c>
      <c r="K474" s="788"/>
      <c r="L474" s="1310"/>
      <c r="M474" s="788">
        <f t="shared" si="36"/>
        <v>0</v>
      </c>
      <c r="N474" s="1310"/>
      <c r="O474" s="788">
        <f t="shared" si="37"/>
        <v>0</v>
      </c>
      <c r="P474" s="788">
        <f t="shared" si="38"/>
        <v>0</v>
      </c>
    </row>
    <row r="475" spans="3:16">
      <c r="C475" s="784">
        <f>IF(D442="","-",+C474+1)</f>
        <v>2043</v>
      </c>
      <c r="D475" s="732">
        <f t="shared" si="39"/>
        <v>31773514.839743499</v>
      </c>
      <c r="E475" s="785">
        <f t="shared" si="41"/>
        <v>2541881.1871794872</v>
      </c>
      <c r="F475" s="785">
        <f t="shared" si="35"/>
        <v>29231633.652564012</v>
      </c>
      <c r="G475" s="732">
        <f t="shared" si="40"/>
        <v>30502574.246153757</v>
      </c>
      <c r="H475" s="790">
        <f>+J443*G475+E475</f>
        <v>6069508.7688298523</v>
      </c>
      <c r="I475" s="791">
        <f>+J444*G475+E475</f>
        <v>6069508.7688298523</v>
      </c>
      <c r="J475" s="788">
        <f t="shared" si="42"/>
        <v>0</v>
      </c>
      <c r="K475" s="788"/>
      <c r="L475" s="1310"/>
      <c r="M475" s="788">
        <f t="shared" si="36"/>
        <v>0</v>
      </c>
      <c r="N475" s="1310"/>
      <c r="O475" s="788">
        <f t="shared" si="37"/>
        <v>0</v>
      </c>
      <c r="P475" s="788">
        <f t="shared" si="38"/>
        <v>0</v>
      </c>
    </row>
    <row r="476" spans="3:16">
      <c r="C476" s="784">
        <f>IF(D442="","-",+C475+1)</f>
        <v>2044</v>
      </c>
      <c r="D476" s="732">
        <f t="shared" si="39"/>
        <v>29231633.652564012</v>
      </c>
      <c r="E476" s="785">
        <f t="shared" si="41"/>
        <v>2541881.1871794872</v>
      </c>
      <c r="F476" s="785">
        <f t="shared" si="35"/>
        <v>26689752.465384524</v>
      </c>
      <c r="G476" s="732">
        <f t="shared" si="40"/>
        <v>27960693.058974266</v>
      </c>
      <c r="H476" s="790">
        <f>+J443*G476+E476</f>
        <v>5775539.8036923204</v>
      </c>
      <c r="I476" s="791">
        <f>+J444*G476+E476</f>
        <v>5775539.8036923204</v>
      </c>
      <c r="J476" s="788">
        <f t="shared" si="42"/>
        <v>0</v>
      </c>
      <c r="K476" s="788"/>
      <c r="L476" s="1310"/>
      <c r="M476" s="788">
        <f t="shared" si="36"/>
        <v>0</v>
      </c>
      <c r="N476" s="1310"/>
      <c r="O476" s="788">
        <f t="shared" si="37"/>
        <v>0</v>
      </c>
      <c r="P476" s="788">
        <f t="shared" si="38"/>
        <v>0</v>
      </c>
    </row>
    <row r="477" spans="3:16">
      <c r="C477" s="784">
        <f>IF(D442="","-",+C476+1)</f>
        <v>2045</v>
      </c>
      <c r="D477" s="732">
        <f t="shared" si="39"/>
        <v>26689752.465384524</v>
      </c>
      <c r="E477" s="785">
        <f t="shared" si="41"/>
        <v>2541881.1871794872</v>
      </c>
      <c r="F477" s="785">
        <f t="shared" si="35"/>
        <v>24147871.278205037</v>
      </c>
      <c r="G477" s="732">
        <f t="shared" si="40"/>
        <v>25418811.871794783</v>
      </c>
      <c r="H477" s="790">
        <f>+J443*G477+E477</f>
        <v>5481570.8385547893</v>
      </c>
      <c r="I477" s="791">
        <f>+J444*G477+E477</f>
        <v>5481570.8385547893</v>
      </c>
      <c r="J477" s="788">
        <f t="shared" si="42"/>
        <v>0</v>
      </c>
      <c r="K477" s="788"/>
      <c r="L477" s="1310"/>
      <c r="M477" s="788">
        <f t="shared" si="36"/>
        <v>0</v>
      </c>
      <c r="N477" s="1310"/>
      <c r="O477" s="788">
        <f t="shared" si="37"/>
        <v>0</v>
      </c>
      <c r="P477" s="788">
        <f t="shared" si="38"/>
        <v>0</v>
      </c>
    </row>
    <row r="478" spans="3:16">
      <c r="C478" s="784">
        <f>IF(D442="","-",+C477+1)</f>
        <v>2046</v>
      </c>
      <c r="D478" s="732">
        <f t="shared" si="39"/>
        <v>24147871.278205037</v>
      </c>
      <c r="E478" s="785">
        <f t="shared" si="41"/>
        <v>2541881.1871794872</v>
      </c>
      <c r="F478" s="785">
        <f t="shared" si="35"/>
        <v>21605990.09102555</v>
      </c>
      <c r="G478" s="732">
        <f t="shared" si="40"/>
        <v>22876930.684615292</v>
      </c>
      <c r="H478" s="790">
        <f>+J443*G478+E478</f>
        <v>5187601.8734172583</v>
      </c>
      <c r="I478" s="791">
        <f>+J444*G478+E478</f>
        <v>5187601.8734172583</v>
      </c>
      <c r="J478" s="788">
        <f t="shared" si="42"/>
        <v>0</v>
      </c>
      <c r="K478" s="788"/>
      <c r="L478" s="1310"/>
      <c r="M478" s="788">
        <f t="shared" si="36"/>
        <v>0</v>
      </c>
      <c r="N478" s="1310"/>
      <c r="O478" s="788">
        <f t="shared" si="37"/>
        <v>0</v>
      </c>
      <c r="P478" s="788">
        <f t="shared" si="38"/>
        <v>0</v>
      </c>
    </row>
    <row r="479" spans="3:16">
      <c r="C479" s="784">
        <f>IF(D442="","-",+C478+1)</f>
        <v>2047</v>
      </c>
      <c r="D479" s="732">
        <f t="shared" si="39"/>
        <v>21605990.09102555</v>
      </c>
      <c r="E479" s="785">
        <f t="shared" si="41"/>
        <v>2541881.1871794872</v>
      </c>
      <c r="F479" s="785">
        <f t="shared" si="35"/>
        <v>19064108.903846063</v>
      </c>
      <c r="G479" s="732">
        <f t="shared" si="40"/>
        <v>20335049.497435808</v>
      </c>
      <c r="H479" s="790">
        <f>+J443*G479+E479</f>
        <v>4893632.9082797263</v>
      </c>
      <c r="I479" s="791">
        <f>+J444*G479+E479</f>
        <v>4893632.9082797263</v>
      </c>
      <c r="J479" s="788">
        <f t="shared" si="42"/>
        <v>0</v>
      </c>
      <c r="K479" s="788"/>
      <c r="L479" s="1310"/>
      <c r="M479" s="788">
        <f t="shared" si="36"/>
        <v>0</v>
      </c>
      <c r="N479" s="1310"/>
      <c r="O479" s="788">
        <f t="shared" si="37"/>
        <v>0</v>
      </c>
      <c r="P479" s="788">
        <f t="shared" si="38"/>
        <v>0</v>
      </c>
    </row>
    <row r="480" spans="3:16">
      <c r="C480" s="784">
        <f>IF(D442="","-",+C479+1)</f>
        <v>2048</v>
      </c>
      <c r="D480" s="732">
        <f t="shared" si="39"/>
        <v>19064108.903846063</v>
      </c>
      <c r="E480" s="785">
        <f t="shared" si="41"/>
        <v>2541881.1871794872</v>
      </c>
      <c r="F480" s="785">
        <f t="shared" si="35"/>
        <v>16522227.716666576</v>
      </c>
      <c r="G480" s="732">
        <f t="shared" si="40"/>
        <v>17793168.310256317</v>
      </c>
      <c r="H480" s="790">
        <f>+J443*G480+E480</f>
        <v>4599663.9431421952</v>
      </c>
      <c r="I480" s="791">
        <f>+J444*G480+E480</f>
        <v>4599663.9431421952</v>
      </c>
      <c r="J480" s="788">
        <f t="shared" si="42"/>
        <v>0</v>
      </c>
      <c r="K480" s="788"/>
      <c r="L480" s="1310"/>
      <c r="M480" s="788">
        <f t="shared" si="36"/>
        <v>0</v>
      </c>
      <c r="N480" s="1310"/>
      <c r="O480" s="788">
        <f t="shared" si="37"/>
        <v>0</v>
      </c>
      <c r="P480" s="788">
        <f t="shared" si="38"/>
        <v>0</v>
      </c>
    </row>
    <row r="481" spans="3:16">
      <c r="C481" s="784">
        <f>IF(D442="","-",+C480+1)</f>
        <v>2049</v>
      </c>
      <c r="D481" s="732">
        <f t="shared" si="39"/>
        <v>16522227.716666576</v>
      </c>
      <c r="E481" s="785">
        <f t="shared" si="41"/>
        <v>2541881.1871794872</v>
      </c>
      <c r="F481" s="785">
        <f t="shared" si="35"/>
        <v>13980346.529487088</v>
      </c>
      <c r="G481" s="732">
        <f t="shared" si="40"/>
        <v>15251287.123076832</v>
      </c>
      <c r="H481" s="790">
        <f>+J443*G481+E481</f>
        <v>4305694.9780046642</v>
      </c>
      <c r="I481" s="791">
        <f>+J444*G481+E481</f>
        <v>4305694.9780046642</v>
      </c>
      <c r="J481" s="788">
        <f t="shared" si="42"/>
        <v>0</v>
      </c>
      <c r="K481" s="788"/>
      <c r="L481" s="1310"/>
      <c r="M481" s="788">
        <f t="shared" si="36"/>
        <v>0</v>
      </c>
      <c r="N481" s="1310"/>
      <c r="O481" s="788">
        <f t="shared" si="37"/>
        <v>0</v>
      </c>
      <c r="P481" s="788">
        <f t="shared" si="38"/>
        <v>0</v>
      </c>
    </row>
    <row r="482" spans="3:16">
      <c r="C482" s="784">
        <f>IF(D442="","-",+C481+1)</f>
        <v>2050</v>
      </c>
      <c r="D482" s="732">
        <f t="shared" si="39"/>
        <v>13980346.529487088</v>
      </c>
      <c r="E482" s="785">
        <f t="shared" si="41"/>
        <v>2541881.1871794872</v>
      </c>
      <c r="F482" s="785">
        <f t="shared" si="35"/>
        <v>11438465.342307601</v>
      </c>
      <c r="G482" s="732">
        <f t="shared" si="40"/>
        <v>12709405.935897345</v>
      </c>
      <c r="H482" s="790">
        <f>+J443*G482+E482</f>
        <v>4011726.0128671331</v>
      </c>
      <c r="I482" s="791">
        <f>+J444*G482+E482</f>
        <v>4011726.0128671331</v>
      </c>
      <c r="J482" s="788">
        <f t="shared" si="42"/>
        <v>0</v>
      </c>
      <c r="K482" s="788"/>
      <c r="L482" s="1310"/>
      <c r="M482" s="788">
        <f t="shared" si="36"/>
        <v>0</v>
      </c>
      <c r="N482" s="1310"/>
      <c r="O482" s="788">
        <f t="shared" si="37"/>
        <v>0</v>
      </c>
      <c r="P482" s="788">
        <f t="shared" si="38"/>
        <v>0</v>
      </c>
    </row>
    <row r="483" spans="3:16">
      <c r="C483" s="784">
        <f>IF(D442="","-",+C482+1)</f>
        <v>2051</v>
      </c>
      <c r="D483" s="732">
        <f t="shared" si="39"/>
        <v>11438465.342307601</v>
      </c>
      <c r="E483" s="785">
        <f t="shared" si="41"/>
        <v>2541881.1871794872</v>
      </c>
      <c r="F483" s="785">
        <f t="shared" si="35"/>
        <v>8896584.1551281139</v>
      </c>
      <c r="G483" s="732">
        <f t="shared" si="40"/>
        <v>10167524.748717858</v>
      </c>
      <c r="H483" s="790">
        <f>+J443*G483+E483</f>
        <v>3717757.0477296016</v>
      </c>
      <c r="I483" s="791">
        <f>+J444*G483+E483</f>
        <v>3717757.0477296016</v>
      </c>
      <c r="J483" s="788">
        <f t="shared" si="42"/>
        <v>0</v>
      </c>
      <c r="K483" s="788"/>
      <c r="L483" s="1310"/>
      <c r="M483" s="788">
        <f t="shared" si="36"/>
        <v>0</v>
      </c>
      <c r="N483" s="1310"/>
      <c r="O483" s="788">
        <f t="shared" si="37"/>
        <v>0</v>
      </c>
      <c r="P483" s="788">
        <f t="shared" si="38"/>
        <v>0</v>
      </c>
    </row>
    <row r="484" spans="3:16">
      <c r="C484" s="784">
        <f>IF(D442="","-",+C483+1)</f>
        <v>2052</v>
      </c>
      <c r="D484" s="732">
        <f t="shared" si="39"/>
        <v>8896584.1551281139</v>
      </c>
      <c r="E484" s="785">
        <f t="shared" si="41"/>
        <v>2541881.1871794872</v>
      </c>
      <c r="F484" s="785">
        <f t="shared" si="35"/>
        <v>6354702.9679486267</v>
      </c>
      <c r="G484" s="732">
        <f t="shared" si="40"/>
        <v>7625643.5615383703</v>
      </c>
      <c r="H484" s="790">
        <f>+J443*G484+E484</f>
        <v>3423788.0825920706</v>
      </c>
      <c r="I484" s="791">
        <f>+J444*G484+E484</f>
        <v>3423788.0825920706</v>
      </c>
      <c r="J484" s="788">
        <f t="shared" si="42"/>
        <v>0</v>
      </c>
      <c r="K484" s="788"/>
      <c r="L484" s="1310"/>
      <c r="M484" s="788">
        <f t="shared" si="36"/>
        <v>0</v>
      </c>
      <c r="N484" s="1310"/>
      <c r="O484" s="788">
        <f t="shared" si="37"/>
        <v>0</v>
      </c>
      <c r="P484" s="788">
        <f t="shared" si="38"/>
        <v>0</v>
      </c>
    </row>
    <row r="485" spans="3:16">
      <c r="C485" s="784">
        <f>IF(D442="","-",+C484+1)</f>
        <v>2053</v>
      </c>
      <c r="D485" s="732">
        <f t="shared" si="39"/>
        <v>6354702.9679486267</v>
      </c>
      <c r="E485" s="785">
        <f t="shared" si="41"/>
        <v>2541881.1871794872</v>
      </c>
      <c r="F485" s="785">
        <f t="shared" si="35"/>
        <v>3812821.7807691395</v>
      </c>
      <c r="G485" s="732">
        <f t="shared" si="40"/>
        <v>5083762.3743588831</v>
      </c>
      <c r="H485" s="790">
        <f>+J443*G485+E485</f>
        <v>3129819.1174545391</v>
      </c>
      <c r="I485" s="791">
        <f>+J444*G485+E485</f>
        <v>3129819.1174545391</v>
      </c>
      <c r="J485" s="788">
        <f t="shared" si="42"/>
        <v>0</v>
      </c>
      <c r="K485" s="788"/>
      <c r="L485" s="1310"/>
      <c r="M485" s="788">
        <f t="shared" si="36"/>
        <v>0</v>
      </c>
      <c r="N485" s="1310"/>
      <c r="O485" s="788">
        <f t="shared" si="37"/>
        <v>0</v>
      </c>
      <c r="P485" s="788">
        <f t="shared" si="38"/>
        <v>0</v>
      </c>
    </row>
    <row r="486" spans="3:16">
      <c r="C486" s="784">
        <f>IF(D442="","-",+C485+1)</f>
        <v>2054</v>
      </c>
      <c r="D486" s="732">
        <f t="shared" si="39"/>
        <v>3812821.7807691395</v>
      </c>
      <c r="E486" s="785">
        <f t="shared" si="41"/>
        <v>2541881.1871794872</v>
      </c>
      <c r="F486" s="785">
        <f t="shared" si="35"/>
        <v>1270940.5935896523</v>
      </c>
      <c r="G486" s="732">
        <f t="shared" si="40"/>
        <v>2541881.1871793959</v>
      </c>
      <c r="H486" s="790">
        <f>+J443*G486+E486</f>
        <v>2835850.152317008</v>
      </c>
      <c r="I486" s="791">
        <f>+J444*G486+E486</f>
        <v>2835850.152317008</v>
      </c>
      <c r="J486" s="788">
        <f t="shared" si="42"/>
        <v>0</v>
      </c>
      <c r="K486" s="788"/>
      <c r="L486" s="1310"/>
      <c r="M486" s="788">
        <f t="shared" si="36"/>
        <v>0</v>
      </c>
      <c r="N486" s="1310"/>
      <c r="O486" s="788">
        <f t="shared" si="37"/>
        <v>0</v>
      </c>
      <c r="P486" s="788">
        <f t="shared" si="38"/>
        <v>0</v>
      </c>
    </row>
    <row r="487" spans="3:16">
      <c r="C487" s="784">
        <f>IF(D442="","-",+C486+1)</f>
        <v>2055</v>
      </c>
      <c r="D487" s="732">
        <f t="shared" si="39"/>
        <v>1270940.5935896523</v>
      </c>
      <c r="E487" s="785">
        <f t="shared" si="41"/>
        <v>1270940.5935896523</v>
      </c>
      <c r="F487" s="785">
        <f t="shared" si="35"/>
        <v>0</v>
      </c>
      <c r="G487" s="732">
        <f t="shared" si="40"/>
        <v>635470.29679482616</v>
      </c>
      <c r="H487" s="790">
        <f>+J443*G487+E487</f>
        <v>1344432.83487403</v>
      </c>
      <c r="I487" s="791">
        <f>+J444*G487+E487</f>
        <v>1344432.83487403</v>
      </c>
      <c r="J487" s="788">
        <f t="shared" si="42"/>
        <v>0</v>
      </c>
      <c r="K487" s="788"/>
      <c r="L487" s="1310"/>
      <c r="M487" s="788">
        <f t="shared" si="36"/>
        <v>0</v>
      </c>
      <c r="N487" s="1310"/>
      <c r="O487" s="788">
        <f t="shared" si="37"/>
        <v>0</v>
      </c>
      <c r="P487" s="788">
        <f t="shared" si="38"/>
        <v>0</v>
      </c>
    </row>
    <row r="488" spans="3:16">
      <c r="C488" s="784">
        <f>IF(D442="","-",+C487+1)</f>
        <v>2056</v>
      </c>
      <c r="D488" s="732">
        <f t="shared" si="39"/>
        <v>0</v>
      </c>
      <c r="E488" s="785">
        <f t="shared" si="41"/>
        <v>0</v>
      </c>
      <c r="F488" s="785">
        <f t="shared" si="35"/>
        <v>0</v>
      </c>
      <c r="G488" s="732">
        <f t="shared" si="40"/>
        <v>0</v>
      </c>
      <c r="H488" s="790">
        <f>+J443*G488+E488</f>
        <v>0</v>
      </c>
      <c r="I488" s="791">
        <f>+J444*G488+E488</f>
        <v>0</v>
      </c>
      <c r="J488" s="788">
        <f t="shared" si="42"/>
        <v>0</v>
      </c>
      <c r="K488" s="788"/>
      <c r="L488" s="1310"/>
      <c r="M488" s="788">
        <f t="shared" si="36"/>
        <v>0</v>
      </c>
      <c r="N488" s="1310"/>
      <c r="O488" s="788">
        <f t="shared" si="37"/>
        <v>0</v>
      </c>
      <c r="P488" s="788">
        <f t="shared" si="38"/>
        <v>0</v>
      </c>
    </row>
    <row r="489" spans="3:16">
      <c r="C489" s="784">
        <f>IF(D442="","-",+C488+1)</f>
        <v>2057</v>
      </c>
      <c r="D489" s="732">
        <f t="shared" si="39"/>
        <v>0</v>
      </c>
      <c r="E489" s="785">
        <f t="shared" si="41"/>
        <v>0</v>
      </c>
      <c r="F489" s="785">
        <f t="shared" si="35"/>
        <v>0</v>
      </c>
      <c r="G489" s="732">
        <f t="shared" si="40"/>
        <v>0</v>
      </c>
      <c r="H489" s="790">
        <f>+J443*G489+E489</f>
        <v>0</v>
      </c>
      <c r="I489" s="791">
        <f>+J444*G489+E489</f>
        <v>0</v>
      </c>
      <c r="J489" s="788">
        <f t="shared" si="42"/>
        <v>0</v>
      </c>
      <c r="K489" s="788"/>
      <c r="L489" s="1310"/>
      <c r="M489" s="788">
        <f t="shared" si="36"/>
        <v>0</v>
      </c>
      <c r="N489" s="1310"/>
      <c r="O489" s="788">
        <f t="shared" si="37"/>
        <v>0</v>
      </c>
      <c r="P489" s="788">
        <f t="shared" si="38"/>
        <v>0</v>
      </c>
    </row>
    <row r="490" spans="3:16">
      <c r="C490" s="784">
        <f>IF(D442="","-",+C489+1)</f>
        <v>2058</v>
      </c>
      <c r="D490" s="732">
        <f t="shared" si="39"/>
        <v>0</v>
      </c>
      <c r="E490" s="785">
        <f t="shared" si="41"/>
        <v>0</v>
      </c>
      <c r="F490" s="785">
        <f t="shared" si="35"/>
        <v>0</v>
      </c>
      <c r="G490" s="732">
        <f t="shared" si="40"/>
        <v>0</v>
      </c>
      <c r="H490" s="790">
        <f>+J443*G490+E490</f>
        <v>0</v>
      </c>
      <c r="I490" s="791">
        <f>+J444*G490+E490</f>
        <v>0</v>
      </c>
      <c r="J490" s="788">
        <f t="shared" si="42"/>
        <v>0</v>
      </c>
      <c r="K490" s="788"/>
      <c r="L490" s="1310"/>
      <c r="M490" s="788">
        <f t="shared" si="36"/>
        <v>0</v>
      </c>
      <c r="N490" s="1310"/>
      <c r="O490" s="788">
        <f t="shared" si="37"/>
        <v>0</v>
      </c>
      <c r="P490" s="788">
        <f t="shared" si="38"/>
        <v>0</v>
      </c>
    </row>
    <row r="491" spans="3:16">
      <c r="C491" s="784">
        <f>IF(D442="","-",+C490+1)</f>
        <v>2059</v>
      </c>
      <c r="D491" s="732">
        <f t="shared" si="39"/>
        <v>0</v>
      </c>
      <c r="E491" s="785">
        <f t="shared" si="41"/>
        <v>0</v>
      </c>
      <c r="F491" s="785">
        <f t="shared" si="35"/>
        <v>0</v>
      </c>
      <c r="G491" s="732">
        <f t="shared" si="40"/>
        <v>0</v>
      </c>
      <c r="H491" s="790">
        <f>+J443*G491+E491</f>
        <v>0</v>
      </c>
      <c r="I491" s="791">
        <f>+J444*G491+E491</f>
        <v>0</v>
      </c>
      <c r="J491" s="788">
        <f t="shared" si="42"/>
        <v>0</v>
      </c>
      <c r="K491" s="788"/>
      <c r="L491" s="1310"/>
      <c r="M491" s="788">
        <f t="shared" si="36"/>
        <v>0</v>
      </c>
      <c r="N491" s="1310"/>
      <c r="O491" s="788">
        <f t="shared" si="37"/>
        <v>0</v>
      </c>
      <c r="P491" s="788">
        <f t="shared" si="38"/>
        <v>0</v>
      </c>
    </row>
    <row r="492" spans="3:16">
      <c r="C492" s="784">
        <f>IF(D442="","-",+C491+1)</f>
        <v>2060</v>
      </c>
      <c r="D492" s="732">
        <f t="shared" si="39"/>
        <v>0</v>
      </c>
      <c r="E492" s="785">
        <f t="shared" si="41"/>
        <v>0</v>
      </c>
      <c r="F492" s="785">
        <f t="shared" si="35"/>
        <v>0</v>
      </c>
      <c r="G492" s="732">
        <f t="shared" si="40"/>
        <v>0</v>
      </c>
      <c r="H492" s="790">
        <f>+J443*G492+E492</f>
        <v>0</v>
      </c>
      <c r="I492" s="791">
        <f>+J444*G492+E492</f>
        <v>0</v>
      </c>
      <c r="J492" s="788">
        <f t="shared" si="42"/>
        <v>0</v>
      </c>
      <c r="K492" s="788"/>
      <c r="L492" s="1310"/>
      <c r="M492" s="788">
        <f t="shared" si="36"/>
        <v>0</v>
      </c>
      <c r="N492" s="1310"/>
      <c r="O492" s="788">
        <f t="shared" si="37"/>
        <v>0</v>
      </c>
      <c r="P492" s="788">
        <f t="shared" si="38"/>
        <v>0</v>
      </c>
    </row>
    <row r="493" spans="3:16">
      <c r="C493" s="784">
        <f>IF(D442="","-",+C492+1)</f>
        <v>2061</v>
      </c>
      <c r="D493" s="732">
        <f t="shared" si="39"/>
        <v>0</v>
      </c>
      <c r="E493" s="785">
        <f t="shared" si="41"/>
        <v>0</v>
      </c>
      <c r="F493" s="785">
        <f t="shared" si="35"/>
        <v>0</v>
      </c>
      <c r="G493" s="732">
        <f t="shared" si="40"/>
        <v>0</v>
      </c>
      <c r="H493" s="790">
        <f>+J443*G493+E493</f>
        <v>0</v>
      </c>
      <c r="I493" s="791">
        <f>+J444*G493+E493</f>
        <v>0</v>
      </c>
      <c r="J493" s="788">
        <f t="shared" si="42"/>
        <v>0</v>
      </c>
      <c r="K493" s="788"/>
      <c r="L493" s="1310"/>
      <c r="M493" s="788">
        <f t="shared" si="36"/>
        <v>0</v>
      </c>
      <c r="N493" s="1310"/>
      <c r="O493" s="788">
        <f t="shared" si="37"/>
        <v>0</v>
      </c>
      <c r="P493" s="788">
        <f t="shared" si="38"/>
        <v>0</v>
      </c>
    </row>
    <row r="494" spans="3:16">
      <c r="C494" s="784">
        <f>IF(D442="","-",+C493+1)</f>
        <v>2062</v>
      </c>
      <c r="D494" s="732">
        <f t="shared" si="39"/>
        <v>0</v>
      </c>
      <c r="E494" s="785">
        <f t="shared" si="41"/>
        <v>0</v>
      </c>
      <c r="F494" s="785">
        <f t="shared" si="35"/>
        <v>0</v>
      </c>
      <c r="G494" s="732">
        <f t="shared" si="40"/>
        <v>0</v>
      </c>
      <c r="H494" s="790">
        <f>+J443*G494+E494</f>
        <v>0</v>
      </c>
      <c r="I494" s="791">
        <f>+J444*G494+E494</f>
        <v>0</v>
      </c>
      <c r="J494" s="788">
        <f t="shared" si="42"/>
        <v>0</v>
      </c>
      <c r="K494" s="788"/>
      <c r="L494" s="1310"/>
      <c r="M494" s="788">
        <f t="shared" si="36"/>
        <v>0</v>
      </c>
      <c r="N494" s="1310"/>
      <c r="O494" s="788">
        <f t="shared" si="37"/>
        <v>0</v>
      </c>
      <c r="P494" s="788">
        <f t="shared" si="38"/>
        <v>0</v>
      </c>
    </row>
    <row r="495" spans="3:16">
      <c r="C495" s="784">
        <f>IF(D442="","-",+C494+1)</f>
        <v>2063</v>
      </c>
      <c r="D495" s="732">
        <f t="shared" si="39"/>
        <v>0</v>
      </c>
      <c r="E495" s="785">
        <f t="shared" si="41"/>
        <v>0</v>
      </c>
      <c r="F495" s="785">
        <f t="shared" si="35"/>
        <v>0</v>
      </c>
      <c r="G495" s="732">
        <f t="shared" si="40"/>
        <v>0</v>
      </c>
      <c r="H495" s="790">
        <f>+J443*G495+E495</f>
        <v>0</v>
      </c>
      <c r="I495" s="791">
        <f>+J444*G495+E495</f>
        <v>0</v>
      </c>
      <c r="J495" s="788">
        <f t="shared" si="42"/>
        <v>0</v>
      </c>
      <c r="K495" s="788"/>
      <c r="L495" s="1310"/>
      <c r="M495" s="788">
        <f t="shared" si="36"/>
        <v>0</v>
      </c>
      <c r="N495" s="1310"/>
      <c r="O495" s="788">
        <f t="shared" si="37"/>
        <v>0</v>
      </c>
      <c r="P495" s="788">
        <f t="shared" si="38"/>
        <v>0</v>
      </c>
    </row>
    <row r="496" spans="3:16">
      <c r="C496" s="784">
        <f>IF(D442="","-",+C495+1)</f>
        <v>2064</v>
      </c>
      <c r="D496" s="732">
        <f t="shared" si="39"/>
        <v>0</v>
      </c>
      <c r="E496" s="785">
        <f t="shared" si="41"/>
        <v>0</v>
      </c>
      <c r="F496" s="785">
        <f t="shared" si="35"/>
        <v>0</v>
      </c>
      <c r="G496" s="732">
        <f t="shared" si="40"/>
        <v>0</v>
      </c>
      <c r="H496" s="790">
        <f>+J443*G496+E496</f>
        <v>0</v>
      </c>
      <c r="I496" s="791">
        <f>+J444*G496+E496</f>
        <v>0</v>
      </c>
      <c r="J496" s="788">
        <f t="shared" si="42"/>
        <v>0</v>
      </c>
      <c r="K496" s="788"/>
      <c r="L496" s="1310"/>
      <c r="M496" s="788">
        <f t="shared" si="36"/>
        <v>0</v>
      </c>
      <c r="N496" s="1310"/>
      <c r="O496" s="788">
        <f t="shared" si="37"/>
        <v>0</v>
      </c>
      <c r="P496" s="788">
        <f t="shared" si="38"/>
        <v>0</v>
      </c>
    </row>
    <row r="497" spans="3:16">
      <c r="C497" s="784">
        <f>IF(D442="","-",+C496+1)</f>
        <v>2065</v>
      </c>
      <c r="D497" s="732">
        <f t="shared" si="39"/>
        <v>0</v>
      </c>
      <c r="E497" s="785">
        <f t="shared" si="41"/>
        <v>0</v>
      </c>
      <c r="F497" s="785">
        <f t="shared" si="35"/>
        <v>0</v>
      </c>
      <c r="G497" s="732">
        <f t="shared" si="40"/>
        <v>0</v>
      </c>
      <c r="H497" s="790">
        <f>+J443*G497+E497</f>
        <v>0</v>
      </c>
      <c r="I497" s="791">
        <f>+J444*G497+E497</f>
        <v>0</v>
      </c>
      <c r="J497" s="788">
        <f t="shared" si="42"/>
        <v>0</v>
      </c>
      <c r="K497" s="788"/>
      <c r="L497" s="1310"/>
      <c r="M497" s="788">
        <f t="shared" si="36"/>
        <v>0</v>
      </c>
      <c r="N497" s="1310"/>
      <c r="O497" s="788">
        <f t="shared" si="37"/>
        <v>0</v>
      </c>
      <c r="P497" s="788">
        <f t="shared" si="38"/>
        <v>0</v>
      </c>
    </row>
    <row r="498" spans="3:16">
      <c r="C498" s="784">
        <f>IF(D442="","-",+C497+1)</f>
        <v>2066</v>
      </c>
      <c r="D498" s="732">
        <f t="shared" si="39"/>
        <v>0</v>
      </c>
      <c r="E498" s="785">
        <f t="shared" si="41"/>
        <v>0</v>
      </c>
      <c r="F498" s="785">
        <f t="shared" si="35"/>
        <v>0</v>
      </c>
      <c r="G498" s="732">
        <f t="shared" si="40"/>
        <v>0</v>
      </c>
      <c r="H498" s="790">
        <f>+J443*G498+E498</f>
        <v>0</v>
      </c>
      <c r="I498" s="791">
        <f>+J444*G498+E498</f>
        <v>0</v>
      </c>
      <c r="J498" s="788">
        <f t="shared" si="42"/>
        <v>0</v>
      </c>
      <c r="K498" s="788"/>
      <c r="L498" s="1310"/>
      <c r="M498" s="788">
        <f t="shared" si="36"/>
        <v>0</v>
      </c>
      <c r="N498" s="1310"/>
      <c r="O498" s="788">
        <f t="shared" si="37"/>
        <v>0</v>
      </c>
      <c r="P498" s="788">
        <f t="shared" si="38"/>
        <v>0</v>
      </c>
    </row>
    <row r="499" spans="3:16">
      <c r="C499" s="784">
        <f>IF(D442="","-",+C498+1)</f>
        <v>2067</v>
      </c>
      <c r="D499" s="732">
        <f t="shared" si="39"/>
        <v>0</v>
      </c>
      <c r="E499" s="785">
        <f t="shared" si="41"/>
        <v>0</v>
      </c>
      <c r="F499" s="785">
        <f t="shared" si="35"/>
        <v>0</v>
      </c>
      <c r="G499" s="732">
        <f t="shared" si="40"/>
        <v>0</v>
      </c>
      <c r="H499" s="790">
        <f>+J443*G499+E499</f>
        <v>0</v>
      </c>
      <c r="I499" s="791">
        <f>+J444*G499+E499</f>
        <v>0</v>
      </c>
      <c r="J499" s="788">
        <f t="shared" si="42"/>
        <v>0</v>
      </c>
      <c r="K499" s="788"/>
      <c r="L499" s="1310"/>
      <c r="M499" s="788">
        <f t="shared" si="36"/>
        <v>0</v>
      </c>
      <c r="N499" s="1310"/>
      <c r="O499" s="788">
        <f t="shared" si="37"/>
        <v>0</v>
      </c>
      <c r="P499" s="788">
        <f t="shared" si="38"/>
        <v>0</v>
      </c>
    </row>
    <row r="500" spans="3:16">
      <c r="C500" s="784">
        <f>IF(D442="","-",+C499+1)</f>
        <v>2068</v>
      </c>
      <c r="D500" s="732">
        <f t="shared" si="39"/>
        <v>0</v>
      </c>
      <c r="E500" s="785">
        <f t="shared" si="41"/>
        <v>0</v>
      </c>
      <c r="F500" s="785">
        <f t="shared" si="35"/>
        <v>0</v>
      </c>
      <c r="G500" s="732">
        <f t="shared" si="40"/>
        <v>0</v>
      </c>
      <c r="H500" s="790">
        <f>+J443*G500+E500</f>
        <v>0</v>
      </c>
      <c r="I500" s="791">
        <f>+J444*G500+E500</f>
        <v>0</v>
      </c>
      <c r="J500" s="788">
        <f t="shared" si="42"/>
        <v>0</v>
      </c>
      <c r="K500" s="788"/>
      <c r="L500" s="1310"/>
      <c r="M500" s="788">
        <f t="shared" si="36"/>
        <v>0</v>
      </c>
      <c r="N500" s="1310"/>
      <c r="O500" s="788">
        <f t="shared" si="37"/>
        <v>0</v>
      </c>
      <c r="P500" s="788">
        <f t="shared" si="38"/>
        <v>0</v>
      </c>
    </row>
    <row r="501" spans="3:16">
      <c r="C501" s="784">
        <f>IF(D442="","-",+C500+1)</f>
        <v>2069</v>
      </c>
      <c r="D501" s="732">
        <f t="shared" si="39"/>
        <v>0</v>
      </c>
      <c r="E501" s="785">
        <f t="shared" si="41"/>
        <v>0</v>
      </c>
      <c r="F501" s="785">
        <f t="shared" si="35"/>
        <v>0</v>
      </c>
      <c r="G501" s="732">
        <f t="shared" si="40"/>
        <v>0</v>
      </c>
      <c r="H501" s="790">
        <f>+J443*G501+E501</f>
        <v>0</v>
      </c>
      <c r="I501" s="791">
        <f>+J444*G501+E501</f>
        <v>0</v>
      </c>
      <c r="J501" s="788">
        <f t="shared" si="42"/>
        <v>0</v>
      </c>
      <c r="K501" s="788"/>
      <c r="L501" s="1310"/>
      <c r="M501" s="788">
        <f t="shared" si="36"/>
        <v>0</v>
      </c>
      <c r="N501" s="1310"/>
      <c r="O501" s="788">
        <f t="shared" si="37"/>
        <v>0</v>
      </c>
      <c r="P501" s="788">
        <f t="shared" si="38"/>
        <v>0</v>
      </c>
    </row>
    <row r="502" spans="3:16">
      <c r="C502" s="784">
        <f>IF(D442="","-",+C501+1)</f>
        <v>2070</v>
      </c>
      <c r="D502" s="732">
        <f t="shared" ref="D502:D507" si="43">F501</f>
        <v>0</v>
      </c>
      <c r="E502" s="785">
        <f t="shared" si="41"/>
        <v>0</v>
      </c>
      <c r="F502" s="785">
        <f t="shared" si="35"/>
        <v>0</v>
      </c>
      <c r="G502" s="732">
        <f t="shared" si="40"/>
        <v>0</v>
      </c>
      <c r="H502" s="790">
        <f>+J443*G502+E502</f>
        <v>0</v>
      </c>
      <c r="I502" s="791">
        <f>+J444*G502+E502</f>
        <v>0</v>
      </c>
      <c r="J502" s="788">
        <f t="shared" si="42"/>
        <v>0</v>
      </c>
      <c r="K502" s="788"/>
      <c r="L502" s="1310"/>
      <c r="M502" s="788">
        <f t="shared" si="36"/>
        <v>0</v>
      </c>
      <c r="N502" s="1310"/>
      <c r="O502" s="788">
        <f t="shared" si="37"/>
        <v>0</v>
      </c>
      <c r="P502" s="788">
        <f t="shared" si="38"/>
        <v>0</v>
      </c>
    </row>
    <row r="503" spans="3:16">
      <c r="C503" s="784">
        <f>IF(D442="","-",+C502+1)</f>
        <v>2071</v>
      </c>
      <c r="D503" s="732">
        <f t="shared" si="43"/>
        <v>0</v>
      </c>
      <c r="E503" s="785">
        <f t="shared" si="41"/>
        <v>0</v>
      </c>
      <c r="F503" s="785">
        <f t="shared" si="35"/>
        <v>0</v>
      </c>
      <c r="G503" s="732">
        <f t="shared" si="40"/>
        <v>0</v>
      </c>
      <c r="H503" s="790">
        <f>+J443*G503+E503</f>
        <v>0</v>
      </c>
      <c r="I503" s="791">
        <f>+J444*G503+E503</f>
        <v>0</v>
      </c>
      <c r="J503" s="788">
        <f t="shared" si="42"/>
        <v>0</v>
      </c>
      <c r="K503" s="788"/>
      <c r="L503" s="1310"/>
      <c r="M503" s="788">
        <f t="shared" si="36"/>
        <v>0</v>
      </c>
      <c r="N503" s="1310"/>
      <c r="O503" s="788">
        <f t="shared" si="37"/>
        <v>0</v>
      </c>
      <c r="P503" s="788">
        <f t="shared" si="38"/>
        <v>0</v>
      </c>
    </row>
    <row r="504" spans="3:16">
      <c r="C504" s="784">
        <f>IF(D442="","-",+C503+1)</f>
        <v>2072</v>
      </c>
      <c r="D504" s="732">
        <f t="shared" si="43"/>
        <v>0</v>
      </c>
      <c r="E504" s="785">
        <f t="shared" si="41"/>
        <v>0</v>
      </c>
      <c r="F504" s="785">
        <f t="shared" si="35"/>
        <v>0</v>
      </c>
      <c r="G504" s="732">
        <f t="shared" si="40"/>
        <v>0</v>
      </c>
      <c r="H504" s="790">
        <f>+J443*G504+E504</f>
        <v>0</v>
      </c>
      <c r="I504" s="791">
        <f>+J444*G504+E504</f>
        <v>0</v>
      </c>
      <c r="J504" s="788">
        <f t="shared" si="42"/>
        <v>0</v>
      </c>
      <c r="K504" s="788"/>
      <c r="L504" s="1310"/>
      <c r="M504" s="788">
        <f t="shared" si="36"/>
        <v>0</v>
      </c>
      <c r="N504" s="1310"/>
      <c r="O504" s="788">
        <f t="shared" si="37"/>
        <v>0</v>
      </c>
      <c r="P504" s="788">
        <f t="shared" si="38"/>
        <v>0</v>
      </c>
    </row>
    <row r="505" spans="3:16">
      <c r="C505" s="784">
        <f>IF(D442="","-",+C504+1)</f>
        <v>2073</v>
      </c>
      <c r="D505" s="732">
        <f t="shared" si="43"/>
        <v>0</v>
      </c>
      <c r="E505" s="785">
        <f t="shared" si="41"/>
        <v>0</v>
      </c>
      <c r="F505" s="785">
        <f t="shared" si="35"/>
        <v>0</v>
      </c>
      <c r="G505" s="732">
        <f t="shared" si="40"/>
        <v>0</v>
      </c>
      <c r="H505" s="790">
        <f>+J443*G505+E505</f>
        <v>0</v>
      </c>
      <c r="I505" s="791">
        <f>+J444*G505+E505</f>
        <v>0</v>
      </c>
      <c r="J505" s="788">
        <f t="shared" si="42"/>
        <v>0</v>
      </c>
      <c r="K505" s="788"/>
      <c r="L505" s="1310"/>
      <c r="M505" s="788">
        <f t="shared" si="36"/>
        <v>0</v>
      </c>
      <c r="N505" s="1310"/>
      <c r="O505" s="788">
        <f t="shared" si="37"/>
        <v>0</v>
      </c>
      <c r="P505" s="788">
        <f t="shared" si="38"/>
        <v>0</v>
      </c>
    </row>
    <row r="506" spans="3:16">
      <c r="C506" s="784">
        <f>IF(D442="","-",+C505+1)</f>
        <v>2074</v>
      </c>
      <c r="D506" s="732">
        <f t="shared" si="43"/>
        <v>0</v>
      </c>
      <c r="E506" s="785">
        <f t="shared" si="41"/>
        <v>0</v>
      </c>
      <c r="F506" s="785">
        <f t="shared" si="35"/>
        <v>0</v>
      </c>
      <c r="G506" s="732">
        <f t="shared" si="40"/>
        <v>0</v>
      </c>
      <c r="H506" s="790">
        <f>+J443*G506+E506</f>
        <v>0</v>
      </c>
      <c r="I506" s="791">
        <f>+J444*G506+E506</f>
        <v>0</v>
      </c>
      <c r="J506" s="788">
        <f t="shared" si="42"/>
        <v>0</v>
      </c>
      <c r="K506" s="788"/>
      <c r="L506" s="1310"/>
      <c r="M506" s="788">
        <f t="shared" si="36"/>
        <v>0</v>
      </c>
      <c r="N506" s="1310"/>
      <c r="O506" s="788">
        <f t="shared" si="37"/>
        <v>0</v>
      </c>
      <c r="P506" s="788">
        <f t="shared" si="38"/>
        <v>0</v>
      </c>
    </row>
    <row r="507" spans="3:16" ht="13.5" thickBot="1">
      <c r="C507" s="794">
        <f>IF(D442="","-",+C506+1)</f>
        <v>2075</v>
      </c>
      <c r="D507" s="795">
        <f t="shared" si="43"/>
        <v>0</v>
      </c>
      <c r="E507" s="796">
        <f t="shared" si="41"/>
        <v>0</v>
      </c>
      <c r="F507" s="796">
        <f t="shared" si="35"/>
        <v>0</v>
      </c>
      <c r="G507" s="795">
        <f t="shared" si="40"/>
        <v>0</v>
      </c>
      <c r="H507" s="797">
        <f>+J443*G507+E507</f>
        <v>0</v>
      </c>
      <c r="I507" s="797">
        <f>+J444*G507+E507</f>
        <v>0</v>
      </c>
      <c r="J507" s="798">
        <f t="shared" si="42"/>
        <v>0</v>
      </c>
      <c r="K507" s="788"/>
      <c r="L507" s="1311"/>
      <c r="M507" s="798">
        <f t="shared" si="36"/>
        <v>0</v>
      </c>
      <c r="N507" s="1311"/>
      <c r="O507" s="798">
        <f t="shared" si="37"/>
        <v>0</v>
      </c>
      <c r="P507" s="798">
        <f t="shared" si="38"/>
        <v>0</v>
      </c>
    </row>
    <row r="508" spans="3:16">
      <c r="C508" s="732" t="s">
        <v>93</v>
      </c>
      <c r="D508" s="726"/>
      <c r="E508" s="726">
        <f>SUM(E448:E507)</f>
        <v>99133366.299999997</v>
      </c>
      <c r="F508" s="726"/>
      <c r="G508" s="726"/>
      <c r="H508" s="726">
        <f>SUM(H448:H507)</f>
        <v>328429159.107274</v>
      </c>
      <c r="I508" s="726">
        <f>SUM(I448:I507)</f>
        <v>328429159.107274</v>
      </c>
      <c r="J508" s="726">
        <f>SUM(J448:J507)</f>
        <v>0</v>
      </c>
      <c r="K508" s="726"/>
      <c r="L508" s="726"/>
      <c r="M508" s="726"/>
      <c r="N508" s="726"/>
      <c r="O508" s="726"/>
    </row>
    <row r="509" spans="3:16">
      <c r="D509" s="534"/>
      <c r="E509" s="313"/>
      <c r="F509" s="313"/>
      <c r="G509" s="313"/>
      <c r="H509" s="313"/>
      <c r="I509" s="704"/>
      <c r="J509" s="704"/>
      <c r="K509" s="726"/>
      <c r="L509" s="704"/>
      <c r="M509" s="704"/>
      <c r="N509" s="704"/>
      <c r="O509" s="704"/>
    </row>
    <row r="510" spans="3:16">
      <c r="C510" s="313" t="s">
        <v>15</v>
      </c>
      <c r="D510" s="534"/>
      <c r="E510" s="313"/>
      <c r="F510" s="313"/>
      <c r="G510" s="313"/>
      <c r="H510" s="313"/>
      <c r="I510" s="704"/>
      <c r="J510" s="704"/>
      <c r="K510" s="726"/>
      <c r="L510" s="704"/>
      <c r="M510" s="704"/>
      <c r="N510" s="704"/>
      <c r="O510" s="704"/>
    </row>
    <row r="511" spans="3:16">
      <c r="C511" s="313"/>
      <c r="D511" s="534"/>
      <c r="E511" s="313"/>
      <c r="F511" s="313"/>
      <c r="G511" s="313"/>
      <c r="H511" s="313"/>
      <c r="I511" s="704"/>
      <c r="J511" s="704"/>
      <c r="K511" s="726"/>
      <c r="L511" s="704"/>
      <c r="M511" s="704"/>
      <c r="N511" s="704"/>
      <c r="O511" s="704"/>
    </row>
    <row r="512" spans="3:16">
      <c r="C512" s="745" t="s">
        <v>16</v>
      </c>
      <c r="D512" s="732"/>
      <c r="E512" s="732"/>
      <c r="F512" s="732"/>
      <c r="G512" s="732"/>
      <c r="H512" s="726"/>
      <c r="I512" s="726"/>
      <c r="J512" s="800"/>
      <c r="K512" s="800"/>
      <c r="L512" s="800"/>
      <c r="M512" s="800"/>
      <c r="N512" s="800"/>
      <c r="O512" s="800"/>
    </row>
    <row r="513" spans="1:17">
      <c r="C513" s="731" t="s">
        <v>273</v>
      </c>
      <c r="D513" s="732"/>
      <c r="E513" s="732"/>
      <c r="F513" s="732"/>
      <c r="G513" s="732"/>
      <c r="H513" s="726"/>
      <c r="I513" s="726"/>
      <c r="J513" s="800"/>
      <c r="K513" s="800"/>
      <c r="L513" s="800"/>
      <c r="M513" s="800"/>
      <c r="N513" s="800"/>
      <c r="O513" s="800"/>
    </row>
    <row r="514" spans="1:17">
      <c r="C514" s="731" t="s">
        <v>94</v>
      </c>
      <c r="D514" s="732"/>
      <c r="E514" s="732"/>
      <c r="F514" s="732"/>
      <c r="G514" s="732"/>
      <c r="H514" s="726"/>
      <c r="I514" s="726"/>
      <c r="J514" s="800"/>
      <c r="K514" s="800"/>
      <c r="L514" s="800"/>
      <c r="M514" s="800"/>
      <c r="N514" s="800"/>
      <c r="O514" s="800"/>
    </row>
    <row r="516" spans="1:17" ht="20.25">
      <c r="A516" s="733" t="str">
        <f>""&amp;A438&amp;" Worksheet K -  ATRR TRUE-UP Calculation for PJM Projects Charged to Benefiting Zones"</f>
        <v xml:space="preserve"> Worksheet K -  ATRR TRUE-UP Calculation for PJM Projects Charged to Benefiting Zones</v>
      </c>
      <c r="B516" s="346"/>
      <c r="C516" s="721"/>
      <c r="D516" s="534"/>
      <c r="E516" s="313"/>
      <c r="F516" s="703"/>
      <c r="G516" s="703"/>
      <c r="H516" s="313"/>
      <c r="I516" s="704"/>
      <c r="L516" s="560"/>
      <c r="M516" s="560"/>
      <c r="N516" s="560"/>
      <c r="O516" s="649" t="str">
        <f>"Page "&amp;SUM(Q$8:Q516)&amp;" of "</f>
        <v xml:space="preserve">Page 6 of </v>
      </c>
      <c r="P516" s="650">
        <f>COUNT(Q$8:Q$56657)</f>
        <v>10</v>
      </c>
      <c r="Q516" s="173">
        <v>1</v>
      </c>
    </row>
    <row r="517" spans="1:17">
      <c r="B517" s="346"/>
      <c r="C517" s="313"/>
      <c r="D517" s="534"/>
      <c r="E517" s="313"/>
      <c r="F517" s="313"/>
      <c r="G517" s="313"/>
      <c r="H517" s="313"/>
      <c r="I517" s="704"/>
      <c r="J517" s="313"/>
      <c r="K517" s="423"/>
    </row>
    <row r="518" spans="1:17" ht="18">
      <c r="B518" s="653" t="s">
        <v>474</v>
      </c>
      <c r="C518" s="735" t="s">
        <v>95</v>
      </c>
      <c r="D518" s="534"/>
      <c r="E518" s="313"/>
      <c r="F518" s="313"/>
      <c r="G518" s="313"/>
      <c r="H518" s="313"/>
      <c r="I518" s="704"/>
      <c r="J518" s="704"/>
      <c r="K518" s="726"/>
      <c r="L518" s="704"/>
      <c r="M518" s="704"/>
      <c r="N518" s="704"/>
      <c r="O518" s="704"/>
    </row>
    <row r="519" spans="1:17" ht="18.75">
      <c r="B519" s="653"/>
      <c r="C519" s="652"/>
      <c r="D519" s="534"/>
      <c r="E519" s="313"/>
      <c r="F519" s="313"/>
      <c r="G519" s="313"/>
      <c r="H519" s="313"/>
      <c r="I519" s="704"/>
      <c r="J519" s="704"/>
      <c r="K519" s="726"/>
      <c r="L519" s="704"/>
      <c r="M519" s="704"/>
      <c r="N519" s="704"/>
      <c r="O519" s="704"/>
    </row>
    <row r="520" spans="1:17" ht="18.75">
      <c r="B520" s="653"/>
      <c r="C520" s="652" t="s">
        <v>96</v>
      </c>
      <c r="D520" s="534"/>
      <c r="E520" s="313"/>
      <c r="F520" s="313"/>
      <c r="G520" s="313"/>
      <c r="H520" s="313"/>
      <c r="I520" s="704"/>
      <c r="J520" s="704"/>
      <c r="K520" s="726"/>
      <c r="L520" s="704"/>
      <c r="M520" s="704"/>
      <c r="N520" s="704"/>
      <c r="O520" s="704"/>
    </row>
    <row r="521" spans="1:17" ht="15.75" thickBot="1">
      <c r="C521" s="240"/>
      <c r="D521" s="534"/>
      <c r="E521" s="313"/>
      <c r="F521" s="313"/>
      <c r="G521" s="313"/>
      <c r="H521" s="313"/>
      <c r="I521" s="704"/>
      <c r="J521" s="704"/>
      <c r="K521" s="726"/>
      <c r="L521" s="704"/>
      <c r="M521" s="704"/>
      <c r="N521" s="704"/>
      <c r="O521" s="704"/>
    </row>
    <row r="522" spans="1:17" ht="15.75">
      <c r="C522" s="655" t="s">
        <v>97</v>
      </c>
      <c r="D522" s="534"/>
      <c r="E522" s="313"/>
      <c r="F522" s="313"/>
      <c r="G522" s="313"/>
      <c r="H522" s="802"/>
      <c r="I522" s="313" t="s">
        <v>76</v>
      </c>
      <c r="J522" s="313"/>
      <c r="K522" s="423"/>
      <c r="L522" s="831">
        <f>+J528</f>
        <v>2021</v>
      </c>
      <c r="M522" s="812" t="s">
        <v>54</v>
      </c>
      <c r="N522" s="812" t="s">
        <v>55</v>
      </c>
      <c r="O522" s="813" t="s">
        <v>57</v>
      </c>
    </row>
    <row r="523" spans="1:17" ht="15.75">
      <c r="C523" s="655"/>
      <c r="D523" s="534"/>
      <c r="E523" s="313"/>
      <c r="F523" s="313"/>
      <c r="H523" s="313"/>
      <c r="I523" s="740"/>
      <c r="J523" s="740"/>
      <c r="K523" s="741"/>
      <c r="L523" s="832" t="s">
        <v>245</v>
      </c>
      <c r="M523" s="833">
        <f>VLOOKUP(J528,C535:P594,10)</f>
        <v>6395009.4806452719</v>
      </c>
      <c r="N523" s="833">
        <f>VLOOKUP(J528,C535:P594,12)</f>
        <v>6395009.4806452719</v>
      </c>
      <c r="O523" s="834">
        <f>+N523-M523</f>
        <v>0</v>
      </c>
    </row>
    <row r="524" spans="1:17" ht="12.95" customHeight="1">
      <c r="C524" s="745" t="s">
        <v>98</v>
      </c>
      <c r="D524" s="1557" t="s">
        <v>822</v>
      </c>
      <c r="E524" s="1557"/>
      <c r="F524" s="1557"/>
      <c r="G524" s="1557"/>
      <c r="H524" s="1557"/>
      <c r="I524" s="1557"/>
      <c r="J524" s="704"/>
      <c r="K524" s="726"/>
      <c r="L524" s="832" t="s">
        <v>246</v>
      </c>
      <c r="M524" s="835">
        <f>VLOOKUP(J528,C535:P594,6)</f>
        <v>6681086.0010459125</v>
      </c>
      <c r="N524" s="835">
        <f>VLOOKUP(J528,C535:P594,7)</f>
        <v>6681086.0010459125</v>
      </c>
      <c r="O524" s="836">
        <f>+N524-M524</f>
        <v>0</v>
      </c>
    </row>
    <row r="525" spans="1:17" ht="13.5" thickBot="1">
      <c r="C525" s="749"/>
      <c r="D525" s="1557"/>
      <c r="E525" s="1557"/>
      <c r="F525" s="1557"/>
      <c r="G525" s="1557"/>
      <c r="H525" s="1557"/>
      <c r="I525" s="1557"/>
      <c r="J525" s="704"/>
      <c r="K525" s="726"/>
      <c r="L525" s="768" t="s">
        <v>247</v>
      </c>
      <c r="M525" s="837">
        <f>+M524-M523</f>
        <v>286076.52040064055</v>
      </c>
      <c r="N525" s="837">
        <f>+N524-N523</f>
        <v>286076.52040064055</v>
      </c>
      <c r="O525" s="838">
        <f>+O524-O523</f>
        <v>0</v>
      </c>
    </row>
    <row r="526" spans="1:17" ht="13.5" thickBot="1">
      <c r="C526" s="752"/>
      <c r="D526" s="753"/>
      <c r="E526" s="751"/>
      <c r="F526" s="751"/>
      <c r="G526" s="751"/>
      <c r="H526" s="751"/>
      <c r="I526" s="751"/>
      <c r="J526" s="751"/>
      <c r="K526" s="754"/>
      <c r="L526" s="751"/>
      <c r="M526" s="751"/>
      <c r="N526" s="751"/>
      <c r="O526" s="751"/>
      <c r="P526" s="346"/>
    </row>
    <row r="527" spans="1:17" ht="13.5" thickBot="1">
      <c r="C527" s="755" t="s">
        <v>99</v>
      </c>
      <c r="D527" s="756"/>
      <c r="E527" s="756"/>
      <c r="F527" s="756"/>
      <c r="G527" s="756"/>
      <c r="H527" s="756"/>
      <c r="I527" s="756"/>
      <c r="J527" s="756"/>
      <c r="K527" s="758"/>
      <c r="P527" s="759"/>
    </row>
    <row r="528" spans="1:17" ht="15">
      <c r="A528" s="1340"/>
      <c r="C528" s="760" t="s">
        <v>77</v>
      </c>
      <c r="D528" s="804">
        <v>52217631.810000002</v>
      </c>
      <c r="E528" s="721" t="s">
        <v>78</v>
      </c>
      <c r="H528" s="761"/>
      <c r="I528" s="761"/>
      <c r="J528" s="762">
        <f>$J$93</f>
        <v>2021</v>
      </c>
      <c r="K528" s="550"/>
      <c r="L528" s="1558" t="s">
        <v>79</v>
      </c>
      <c r="M528" s="1558"/>
      <c r="N528" s="1558"/>
      <c r="O528" s="1558"/>
      <c r="P528" s="423"/>
    </row>
    <row r="529" spans="2:16">
      <c r="C529" s="760" t="s">
        <v>80</v>
      </c>
      <c r="D529" s="1307">
        <v>2016</v>
      </c>
      <c r="E529" s="760" t="s">
        <v>81</v>
      </c>
      <c r="F529" s="761"/>
      <c r="G529" s="761"/>
      <c r="I529" s="173"/>
      <c r="J529" s="806">
        <f>IF(H522="",0,$F$17)</f>
        <v>0</v>
      </c>
      <c r="K529" s="763"/>
      <c r="L529" s="726" t="s">
        <v>287</v>
      </c>
      <c r="P529" s="423"/>
    </row>
    <row r="530" spans="2:16">
      <c r="C530" s="760" t="s">
        <v>82</v>
      </c>
      <c r="D530" s="804">
        <v>12</v>
      </c>
      <c r="E530" s="760" t="s">
        <v>83</v>
      </c>
      <c r="F530" s="761"/>
      <c r="G530" s="761"/>
      <c r="I530" s="173"/>
      <c r="J530" s="764">
        <f>$F$70</f>
        <v>0.11565015966136639</v>
      </c>
      <c r="K530" s="765"/>
      <c r="L530" s="313" t="str">
        <f>"          INPUT TRUE-UP ARR (WITH &amp; WITHOUT INCENTIVES) FROM EACH PRIOR YEAR"</f>
        <v xml:space="preserve">          INPUT TRUE-UP ARR (WITH &amp; WITHOUT INCENTIVES) FROM EACH PRIOR YEAR</v>
      </c>
      <c r="P530" s="423"/>
    </row>
    <row r="531" spans="2:16">
      <c r="C531" s="760" t="s">
        <v>84</v>
      </c>
      <c r="D531" s="766">
        <f>H$79</f>
        <v>39</v>
      </c>
      <c r="E531" s="760" t="s">
        <v>85</v>
      </c>
      <c r="F531" s="761"/>
      <c r="G531" s="761"/>
      <c r="I531" s="173"/>
      <c r="J531" s="764">
        <f>IF(H522="",+J530,$F$69)</f>
        <v>0.11565015966136639</v>
      </c>
      <c r="K531" s="767"/>
      <c r="L531" s="313" t="s">
        <v>167</v>
      </c>
      <c r="M531" s="767"/>
      <c r="N531" s="767"/>
      <c r="O531" s="767"/>
      <c r="P531" s="423"/>
    </row>
    <row r="532" spans="2:16" ht="13.5" thickBot="1">
      <c r="C532" s="760" t="s">
        <v>86</v>
      </c>
      <c r="D532" s="1331" t="s">
        <v>814</v>
      </c>
      <c r="E532" s="768" t="s">
        <v>87</v>
      </c>
      <c r="F532" s="769"/>
      <c r="G532" s="769"/>
      <c r="H532" s="770"/>
      <c r="I532" s="770"/>
      <c r="J532" s="748">
        <f>IF(D528=0,0,D528/D531)</f>
        <v>1338913.6361538463</v>
      </c>
      <c r="K532" s="726"/>
      <c r="L532" s="726" t="s">
        <v>168</v>
      </c>
      <c r="M532" s="726"/>
      <c r="N532" s="726"/>
      <c r="O532" s="726"/>
      <c r="P532" s="423"/>
    </row>
    <row r="533" spans="2:16" ht="38.25">
      <c r="B533" s="841"/>
      <c r="C533" s="771" t="s">
        <v>77</v>
      </c>
      <c r="D533" s="772" t="s">
        <v>88</v>
      </c>
      <c r="E533" s="773" t="s">
        <v>89</v>
      </c>
      <c r="F533" s="772" t="s">
        <v>90</v>
      </c>
      <c r="G533" s="772" t="s">
        <v>248</v>
      </c>
      <c r="H533" s="773" t="s">
        <v>161</v>
      </c>
      <c r="I533" s="774" t="s">
        <v>161</v>
      </c>
      <c r="J533" s="771" t="s">
        <v>100</v>
      </c>
      <c r="K533" s="775"/>
      <c r="L533" s="773" t="s">
        <v>163</v>
      </c>
      <c r="M533" s="773" t="s">
        <v>169</v>
      </c>
      <c r="N533" s="773" t="s">
        <v>163</v>
      </c>
      <c r="O533" s="773" t="s">
        <v>171</v>
      </c>
      <c r="P533" s="773" t="s">
        <v>91</v>
      </c>
    </row>
    <row r="534" spans="2:16" ht="13.5" thickBot="1">
      <c r="C534" s="777" t="s">
        <v>477</v>
      </c>
      <c r="D534" s="778" t="s">
        <v>478</v>
      </c>
      <c r="E534" s="777" t="s">
        <v>371</v>
      </c>
      <c r="F534" s="778" t="s">
        <v>478</v>
      </c>
      <c r="G534" s="778" t="s">
        <v>478</v>
      </c>
      <c r="H534" s="779" t="s">
        <v>103</v>
      </c>
      <c r="I534" s="780" t="s">
        <v>105</v>
      </c>
      <c r="J534" s="781" t="s">
        <v>17</v>
      </c>
      <c r="K534" s="782"/>
      <c r="L534" s="779" t="s">
        <v>92</v>
      </c>
      <c r="M534" s="779" t="s">
        <v>92</v>
      </c>
      <c r="N534" s="779" t="s">
        <v>265</v>
      </c>
      <c r="O534" s="779" t="s">
        <v>265</v>
      </c>
      <c r="P534" s="779" t="s">
        <v>265</v>
      </c>
    </row>
    <row r="535" spans="2:16">
      <c r="C535" s="784">
        <f>IF(D529= "","-",D529)</f>
        <v>2016</v>
      </c>
      <c r="D535" s="732">
        <f>+D528</f>
        <v>52217631.810000002</v>
      </c>
      <c r="E535" s="790">
        <f>+J532/12*(12-D530)</f>
        <v>0</v>
      </c>
      <c r="F535" s="839">
        <f t="shared" ref="F535:F594" si="44">+D535-E535</f>
        <v>52217631.810000002</v>
      </c>
      <c r="G535" s="732">
        <f>+(D535+F535)/2</f>
        <v>52217631.810000002</v>
      </c>
      <c r="H535" s="786">
        <f>+J530*G535+E535</f>
        <v>6038977.4559649453</v>
      </c>
      <c r="I535" s="787">
        <f>+J531*G535+E535</f>
        <v>6038977.4559649453</v>
      </c>
      <c r="J535" s="788">
        <f>+I535-H535</f>
        <v>0</v>
      </c>
      <c r="K535" s="788"/>
      <c r="L535" s="1309">
        <v>5279934</v>
      </c>
      <c r="M535" s="840">
        <f t="shared" ref="M535:M594" si="45">IF(L535&lt;&gt;0,+H535-L535,0)</f>
        <v>759043.45596494526</v>
      </c>
      <c r="N535" s="1309">
        <v>5279934</v>
      </c>
      <c r="O535" s="840">
        <f t="shared" ref="O535:O594" si="46">IF(N535&lt;&gt;0,+I535-N535,0)</f>
        <v>759043.45596494526</v>
      </c>
      <c r="P535" s="840">
        <f t="shared" ref="P535:P594" si="47">+O535-M535</f>
        <v>0</v>
      </c>
    </row>
    <row r="536" spans="2:16">
      <c r="C536" s="784">
        <f>IF(D529="","-",+C535+1)</f>
        <v>2017</v>
      </c>
      <c r="D536" s="732">
        <f t="shared" ref="D536:D588" si="48">F535</f>
        <v>52217631.810000002</v>
      </c>
      <c r="E536" s="785">
        <f>IF(D536&gt;$J$532,$J$532,D536)</f>
        <v>1338913.6361538463</v>
      </c>
      <c r="F536" s="785">
        <f t="shared" si="44"/>
        <v>50878718.173846155</v>
      </c>
      <c r="G536" s="732">
        <f t="shared" ref="G536:G594" si="49">+(D536+F536)/2</f>
        <v>51548174.991923079</v>
      </c>
      <c r="H536" s="790">
        <f>+J530*G536+E536</f>
        <v>7300468.3042218043</v>
      </c>
      <c r="I536" s="791">
        <f>+J531*G536+E536</f>
        <v>7300468.3042218043</v>
      </c>
      <c r="J536" s="788">
        <f>+I536-H536</f>
        <v>0</v>
      </c>
      <c r="K536" s="788"/>
      <c r="L536" s="1310">
        <v>5667478</v>
      </c>
      <c r="M536" s="788">
        <f t="shared" si="45"/>
        <v>1632990.3042218043</v>
      </c>
      <c r="N536" s="1310">
        <v>5667478</v>
      </c>
      <c r="O536" s="788">
        <f t="shared" si="46"/>
        <v>1632990.3042218043</v>
      </c>
      <c r="P536" s="788">
        <f t="shared" si="47"/>
        <v>0</v>
      </c>
    </row>
    <row r="537" spans="2:16">
      <c r="C537" s="784">
        <f>IF(D529="","-",+C536+1)</f>
        <v>2018</v>
      </c>
      <c r="D537" s="1402">
        <f t="shared" si="48"/>
        <v>50878718.173846155</v>
      </c>
      <c r="E537" s="785">
        <f t="shared" ref="E537:E594" si="50">IF(D537&gt;$J$532,$J$532,D537)</f>
        <v>1338913.6361538463</v>
      </c>
      <c r="F537" s="785">
        <f t="shared" si="44"/>
        <v>49539804.537692308</v>
      </c>
      <c r="G537" s="732">
        <f t="shared" si="49"/>
        <v>50209261.355769232</v>
      </c>
      <c r="H537" s="790">
        <f>+J530*G537+E537</f>
        <v>7145622.7284278311</v>
      </c>
      <c r="I537" s="791">
        <f>+J531*G537+E537</f>
        <v>7145622.7284278311</v>
      </c>
      <c r="J537" s="788">
        <f t="shared" ref="J537:J594" si="51">+I537-H537</f>
        <v>0</v>
      </c>
      <c r="K537" s="788"/>
      <c r="L537" s="1310">
        <v>4860385</v>
      </c>
      <c r="M537" s="788">
        <f t="shared" si="45"/>
        <v>2285237.7284278311</v>
      </c>
      <c r="N537" s="1310">
        <v>4860385</v>
      </c>
      <c r="O537" s="788">
        <f t="shared" si="46"/>
        <v>2285237.7284278311</v>
      </c>
      <c r="P537" s="788">
        <f t="shared" si="47"/>
        <v>0</v>
      </c>
    </row>
    <row r="538" spans="2:16">
      <c r="C538" s="784">
        <f>IF(D529="","-",+C537+1)</f>
        <v>2019</v>
      </c>
      <c r="D538" s="732">
        <f t="shared" si="48"/>
        <v>49539804.537692308</v>
      </c>
      <c r="E538" s="785">
        <f t="shared" si="50"/>
        <v>1338913.6361538463</v>
      </c>
      <c r="F538" s="785">
        <f t="shared" si="44"/>
        <v>48200890.901538461</v>
      </c>
      <c r="G538" s="732">
        <f t="shared" si="49"/>
        <v>48870347.719615385</v>
      </c>
      <c r="H538" s="790">
        <f>+J530*G538+E538</f>
        <v>6990777.1526338588</v>
      </c>
      <c r="I538" s="791">
        <f>+J531*G538+E538</f>
        <v>6990777.1526338588</v>
      </c>
      <c r="J538" s="788">
        <f t="shared" si="51"/>
        <v>0</v>
      </c>
      <c r="K538" s="788"/>
      <c r="L538" s="1310">
        <v>6293605</v>
      </c>
      <c r="M538" s="788">
        <f t="shared" si="45"/>
        <v>697172.15263385884</v>
      </c>
      <c r="N538" s="1310">
        <v>6293605</v>
      </c>
      <c r="O538" s="788">
        <f t="shared" si="46"/>
        <v>697172.15263385884</v>
      </c>
      <c r="P538" s="788">
        <f t="shared" si="47"/>
        <v>0</v>
      </c>
    </row>
    <row r="539" spans="2:16">
      <c r="C539" s="784">
        <f>IF(D529="","-",+C538+1)</f>
        <v>2020</v>
      </c>
      <c r="D539" s="1332">
        <f t="shared" si="48"/>
        <v>48200890.901538461</v>
      </c>
      <c r="E539" s="785">
        <f t="shared" si="50"/>
        <v>1338913.6361538463</v>
      </c>
      <c r="F539" s="785">
        <f t="shared" si="44"/>
        <v>46861977.265384614</v>
      </c>
      <c r="G539" s="732">
        <f t="shared" si="49"/>
        <v>47531434.083461538</v>
      </c>
      <c r="H539" s="790">
        <f>+J530*G539+E539</f>
        <v>6835931.5768398857</v>
      </c>
      <c r="I539" s="791">
        <f>+J531*G539+E539</f>
        <v>6835931.5768398857</v>
      </c>
      <c r="J539" s="788">
        <f t="shared" si="51"/>
        <v>0</v>
      </c>
      <c r="K539" s="788"/>
      <c r="L539" s="1310">
        <v>6439770.5705238646</v>
      </c>
      <c r="M539" s="788">
        <f t="shared" si="45"/>
        <v>396161.00631602108</v>
      </c>
      <c r="N539" s="1310">
        <v>6439770.5705238646</v>
      </c>
      <c r="O539" s="788">
        <f t="shared" si="46"/>
        <v>396161.00631602108</v>
      </c>
      <c r="P539" s="788">
        <f t="shared" si="47"/>
        <v>0</v>
      </c>
    </row>
    <row r="540" spans="2:16">
      <c r="C540" s="784">
        <f>IF(D529="","-",+C539+1)</f>
        <v>2021</v>
      </c>
      <c r="D540" s="1332">
        <f t="shared" si="48"/>
        <v>46861977.265384614</v>
      </c>
      <c r="E540" s="785">
        <f t="shared" si="50"/>
        <v>1338913.6361538463</v>
      </c>
      <c r="F540" s="785">
        <f t="shared" si="44"/>
        <v>45523063.629230767</v>
      </c>
      <c r="G540" s="732">
        <f t="shared" si="49"/>
        <v>46192520.447307691</v>
      </c>
      <c r="H540" s="790">
        <f>+J530*G540+E540</f>
        <v>6681086.0010459125</v>
      </c>
      <c r="I540" s="791">
        <f>+J531*G540+E540</f>
        <v>6681086.0010459125</v>
      </c>
      <c r="J540" s="788">
        <f t="shared" si="51"/>
        <v>0</v>
      </c>
      <c r="K540" s="788"/>
      <c r="L540" s="1310">
        <v>6395009.4806452719</v>
      </c>
      <c r="M540" s="788">
        <f t="shared" si="45"/>
        <v>286076.52040064055</v>
      </c>
      <c r="N540" s="1310">
        <v>6395009.4806452719</v>
      </c>
      <c r="O540" s="788">
        <f t="shared" si="46"/>
        <v>286076.52040064055</v>
      </c>
      <c r="P540" s="788">
        <f t="shared" si="47"/>
        <v>0</v>
      </c>
    </row>
    <row r="541" spans="2:16">
      <c r="C541" s="784">
        <f>IF(D529="","-",+C540+1)</f>
        <v>2022</v>
      </c>
      <c r="D541" s="1332">
        <f t="shared" si="48"/>
        <v>45523063.629230767</v>
      </c>
      <c r="E541" s="785">
        <f t="shared" si="50"/>
        <v>1338913.6361538463</v>
      </c>
      <c r="F541" s="785">
        <f t="shared" si="44"/>
        <v>44184149.993076921</v>
      </c>
      <c r="G541" s="732">
        <f t="shared" si="49"/>
        <v>44853606.811153844</v>
      </c>
      <c r="H541" s="790">
        <f>+J530*G541+E541</f>
        <v>6526240.4252519393</v>
      </c>
      <c r="I541" s="791">
        <f>+J531*G541+E541</f>
        <v>6526240.4252519393</v>
      </c>
      <c r="J541" s="788">
        <f t="shared" si="51"/>
        <v>0</v>
      </c>
      <c r="K541" s="788"/>
      <c r="L541" s="1310">
        <v>0</v>
      </c>
      <c r="M541" s="788">
        <f t="shared" si="45"/>
        <v>0</v>
      </c>
      <c r="N541" s="1310">
        <v>0</v>
      </c>
      <c r="O541" s="788">
        <f t="shared" si="46"/>
        <v>0</v>
      </c>
      <c r="P541" s="788">
        <f t="shared" si="47"/>
        <v>0</v>
      </c>
    </row>
    <row r="542" spans="2:16">
      <c r="C542" s="784">
        <f>IF(D529="","-",+C541+1)</f>
        <v>2023</v>
      </c>
      <c r="D542" s="732">
        <f t="shared" si="48"/>
        <v>44184149.993076921</v>
      </c>
      <c r="E542" s="785">
        <f t="shared" si="50"/>
        <v>1338913.6361538463</v>
      </c>
      <c r="F542" s="785">
        <f t="shared" si="44"/>
        <v>42845236.356923074</v>
      </c>
      <c r="G542" s="732">
        <f t="shared" si="49"/>
        <v>43514693.174999997</v>
      </c>
      <c r="H542" s="790">
        <f>+J530*G542+E542</f>
        <v>6371394.8494579662</v>
      </c>
      <c r="I542" s="791">
        <f>+J531*G542+E542</f>
        <v>6371394.8494579662</v>
      </c>
      <c r="J542" s="788">
        <f t="shared" si="51"/>
        <v>0</v>
      </c>
      <c r="K542" s="788"/>
      <c r="L542" s="1310"/>
      <c r="M542" s="788">
        <f t="shared" si="45"/>
        <v>0</v>
      </c>
      <c r="N542" s="1310"/>
      <c r="O542" s="788">
        <f t="shared" si="46"/>
        <v>0</v>
      </c>
      <c r="P542" s="788">
        <f t="shared" si="47"/>
        <v>0</v>
      </c>
    </row>
    <row r="543" spans="2:16">
      <c r="C543" s="784">
        <f>IF(D529="","-",+C542+1)</f>
        <v>2024</v>
      </c>
      <c r="D543" s="732">
        <f t="shared" si="48"/>
        <v>42845236.356923074</v>
      </c>
      <c r="E543" s="785">
        <f t="shared" si="50"/>
        <v>1338913.6361538463</v>
      </c>
      <c r="F543" s="785">
        <f t="shared" si="44"/>
        <v>41506322.720769227</v>
      </c>
      <c r="G543" s="732">
        <f t="shared" si="49"/>
        <v>42175779.53884615</v>
      </c>
      <c r="H543" s="790">
        <f>+J530*G543+E543</f>
        <v>6216549.273663993</v>
      </c>
      <c r="I543" s="791">
        <f>+J531*G543+E543</f>
        <v>6216549.273663993</v>
      </c>
      <c r="J543" s="788">
        <f t="shared" si="51"/>
        <v>0</v>
      </c>
      <c r="K543" s="788"/>
      <c r="L543" s="1310"/>
      <c r="M543" s="788">
        <f t="shared" si="45"/>
        <v>0</v>
      </c>
      <c r="N543" s="1310"/>
      <c r="O543" s="788">
        <f t="shared" si="46"/>
        <v>0</v>
      </c>
      <c r="P543" s="788">
        <f t="shared" si="47"/>
        <v>0</v>
      </c>
    </row>
    <row r="544" spans="2:16">
      <c r="C544" s="784">
        <f>IF(D529="","-",+C543+1)</f>
        <v>2025</v>
      </c>
      <c r="D544" s="732">
        <f t="shared" si="48"/>
        <v>41506322.720769227</v>
      </c>
      <c r="E544" s="785">
        <f t="shared" si="50"/>
        <v>1338913.6361538463</v>
      </c>
      <c r="F544" s="785">
        <f t="shared" si="44"/>
        <v>40167409.08461538</v>
      </c>
      <c r="G544" s="732">
        <f t="shared" si="49"/>
        <v>40836865.902692303</v>
      </c>
      <c r="H544" s="790">
        <f>+J530*G544+E544</f>
        <v>6061703.6978700198</v>
      </c>
      <c r="I544" s="791">
        <f>+J531*G544+E544</f>
        <v>6061703.6978700198</v>
      </c>
      <c r="J544" s="788">
        <f t="shared" si="51"/>
        <v>0</v>
      </c>
      <c r="K544" s="788"/>
      <c r="L544" s="1310"/>
      <c r="M544" s="788">
        <f t="shared" si="45"/>
        <v>0</v>
      </c>
      <c r="N544" s="1310"/>
      <c r="O544" s="788">
        <f t="shared" si="46"/>
        <v>0</v>
      </c>
      <c r="P544" s="788">
        <f t="shared" si="47"/>
        <v>0</v>
      </c>
    </row>
    <row r="545" spans="3:16">
      <c r="C545" s="784">
        <f>IF(D529="","-",+C544+1)</f>
        <v>2026</v>
      </c>
      <c r="D545" s="732">
        <f t="shared" si="48"/>
        <v>40167409.08461538</v>
      </c>
      <c r="E545" s="785">
        <f t="shared" si="50"/>
        <v>1338913.6361538463</v>
      </c>
      <c r="F545" s="785">
        <f t="shared" si="44"/>
        <v>38828495.448461533</v>
      </c>
      <c r="G545" s="732">
        <f t="shared" si="49"/>
        <v>39497952.266538456</v>
      </c>
      <c r="H545" s="790">
        <f>+J530*G545+E545</f>
        <v>5906858.1220760476</v>
      </c>
      <c r="I545" s="791">
        <f>+J531*G545+E545</f>
        <v>5906858.1220760476</v>
      </c>
      <c r="J545" s="788">
        <f t="shared" si="51"/>
        <v>0</v>
      </c>
      <c r="K545" s="788"/>
      <c r="L545" s="1310"/>
      <c r="M545" s="788">
        <f t="shared" si="45"/>
        <v>0</v>
      </c>
      <c r="N545" s="1310"/>
      <c r="O545" s="788">
        <f t="shared" si="46"/>
        <v>0</v>
      </c>
      <c r="P545" s="788">
        <f t="shared" si="47"/>
        <v>0</v>
      </c>
    </row>
    <row r="546" spans="3:16">
      <c r="C546" s="784">
        <f>IF(D529="","-",+C545+1)</f>
        <v>2027</v>
      </c>
      <c r="D546" s="732">
        <f t="shared" si="48"/>
        <v>38828495.448461533</v>
      </c>
      <c r="E546" s="785">
        <f t="shared" si="50"/>
        <v>1338913.6361538463</v>
      </c>
      <c r="F546" s="785">
        <f t="shared" si="44"/>
        <v>37489581.812307686</v>
      </c>
      <c r="G546" s="732">
        <f t="shared" si="49"/>
        <v>38159038.630384609</v>
      </c>
      <c r="H546" s="790">
        <f>+J530*G546+E546</f>
        <v>5752012.5462820744</v>
      </c>
      <c r="I546" s="791">
        <f>+J531*G546+E546</f>
        <v>5752012.5462820744</v>
      </c>
      <c r="J546" s="788">
        <f t="shared" si="51"/>
        <v>0</v>
      </c>
      <c r="K546" s="788"/>
      <c r="L546" s="1310"/>
      <c r="M546" s="788">
        <f t="shared" si="45"/>
        <v>0</v>
      </c>
      <c r="N546" s="1310"/>
      <c r="O546" s="788">
        <f t="shared" si="46"/>
        <v>0</v>
      </c>
      <c r="P546" s="788">
        <f t="shared" si="47"/>
        <v>0</v>
      </c>
    </row>
    <row r="547" spans="3:16">
      <c r="C547" s="784">
        <f>IF(D529="","-",+C546+1)</f>
        <v>2028</v>
      </c>
      <c r="D547" s="732">
        <f t="shared" si="48"/>
        <v>37489581.812307686</v>
      </c>
      <c r="E547" s="785">
        <f t="shared" si="50"/>
        <v>1338913.6361538463</v>
      </c>
      <c r="F547" s="785">
        <f t="shared" si="44"/>
        <v>36150668.176153839</v>
      </c>
      <c r="G547" s="732">
        <f t="shared" si="49"/>
        <v>36820124.994230762</v>
      </c>
      <c r="H547" s="790">
        <f>+J530*G547+E547</f>
        <v>5597166.9704881012</v>
      </c>
      <c r="I547" s="791">
        <f>+J531*G547+E547</f>
        <v>5597166.9704881012</v>
      </c>
      <c r="J547" s="788">
        <f t="shared" si="51"/>
        <v>0</v>
      </c>
      <c r="K547" s="788"/>
      <c r="L547" s="1310"/>
      <c r="M547" s="788">
        <f t="shared" si="45"/>
        <v>0</v>
      </c>
      <c r="N547" s="1310"/>
      <c r="O547" s="788">
        <f t="shared" si="46"/>
        <v>0</v>
      </c>
      <c r="P547" s="788">
        <f t="shared" si="47"/>
        <v>0</v>
      </c>
    </row>
    <row r="548" spans="3:16">
      <c r="C548" s="784">
        <f>IF(D529="","-",+C547+1)</f>
        <v>2029</v>
      </c>
      <c r="D548" s="732">
        <f t="shared" si="48"/>
        <v>36150668.176153839</v>
      </c>
      <c r="E548" s="785">
        <f t="shared" si="50"/>
        <v>1338913.6361538463</v>
      </c>
      <c r="F548" s="785">
        <f t="shared" si="44"/>
        <v>34811754.539999992</v>
      </c>
      <c r="G548" s="732">
        <f t="shared" si="49"/>
        <v>35481211.358076915</v>
      </c>
      <c r="H548" s="790">
        <f>+J530*G548+E548</f>
        <v>5442321.3946941281</v>
      </c>
      <c r="I548" s="791">
        <f>+J531*G548+E548</f>
        <v>5442321.3946941281</v>
      </c>
      <c r="J548" s="788">
        <f t="shared" si="51"/>
        <v>0</v>
      </c>
      <c r="K548" s="788"/>
      <c r="L548" s="1310"/>
      <c r="M548" s="788">
        <f t="shared" si="45"/>
        <v>0</v>
      </c>
      <c r="N548" s="1310"/>
      <c r="O548" s="788">
        <f t="shared" si="46"/>
        <v>0</v>
      </c>
      <c r="P548" s="788">
        <f t="shared" si="47"/>
        <v>0</v>
      </c>
    </row>
    <row r="549" spans="3:16">
      <c r="C549" s="784">
        <f>IF(D529="","-",+C548+1)</f>
        <v>2030</v>
      </c>
      <c r="D549" s="732">
        <f t="shared" si="48"/>
        <v>34811754.539999992</v>
      </c>
      <c r="E549" s="785">
        <f t="shared" si="50"/>
        <v>1338913.6361538463</v>
      </c>
      <c r="F549" s="785">
        <f t="shared" si="44"/>
        <v>33472840.903846145</v>
      </c>
      <c r="G549" s="732">
        <f t="shared" si="49"/>
        <v>34142297.721923068</v>
      </c>
      <c r="H549" s="790">
        <f>+J530*G549+E549</f>
        <v>5287475.8189001549</v>
      </c>
      <c r="I549" s="791">
        <f>+J531*G549+E549</f>
        <v>5287475.8189001549</v>
      </c>
      <c r="J549" s="788">
        <f t="shared" si="51"/>
        <v>0</v>
      </c>
      <c r="K549" s="788"/>
      <c r="L549" s="1310"/>
      <c r="M549" s="788">
        <f t="shared" si="45"/>
        <v>0</v>
      </c>
      <c r="N549" s="1310"/>
      <c r="O549" s="788">
        <f t="shared" si="46"/>
        <v>0</v>
      </c>
      <c r="P549" s="788">
        <f t="shared" si="47"/>
        <v>0</v>
      </c>
    </row>
    <row r="550" spans="3:16">
      <c r="C550" s="784">
        <f>IF(D529="","-",+C549+1)</f>
        <v>2031</v>
      </c>
      <c r="D550" s="732">
        <f t="shared" si="48"/>
        <v>33472840.903846145</v>
      </c>
      <c r="E550" s="785">
        <f t="shared" si="50"/>
        <v>1338913.6361538463</v>
      </c>
      <c r="F550" s="785">
        <f t="shared" si="44"/>
        <v>32133927.267692298</v>
      </c>
      <c r="G550" s="732">
        <f t="shared" si="49"/>
        <v>32803384.085769221</v>
      </c>
      <c r="H550" s="790">
        <f>+J530*G550+E550</f>
        <v>5132630.2431061827</v>
      </c>
      <c r="I550" s="791">
        <f>+J531*G550+E550</f>
        <v>5132630.2431061827</v>
      </c>
      <c r="J550" s="788">
        <f t="shared" si="51"/>
        <v>0</v>
      </c>
      <c r="K550" s="788"/>
      <c r="L550" s="1310"/>
      <c r="M550" s="788">
        <f t="shared" si="45"/>
        <v>0</v>
      </c>
      <c r="N550" s="1310"/>
      <c r="O550" s="788">
        <f t="shared" si="46"/>
        <v>0</v>
      </c>
      <c r="P550" s="788">
        <f t="shared" si="47"/>
        <v>0</v>
      </c>
    </row>
    <row r="551" spans="3:16">
      <c r="C551" s="784">
        <f>IF(D529="","-",+C550+1)</f>
        <v>2032</v>
      </c>
      <c r="D551" s="732">
        <f t="shared" si="48"/>
        <v>32133927.267692298</v>
      </c>
      <c r="E551" s="785">
        <f t="shared" si="50"/>
        <v>1338913.6361538463</v>
      </c>
      <c r="F551" s="785">
        <f t="shared" si="44"/>
        <v>30795013.631538451</v>
      </c>
      <c r="G551" s="732">
        <f t="shared" si="49"/>
        <v>31464470.449615374</v>
      </c>
      <c r="H551" s="790">
        <f>+J530*G551+E551</f>
        <v>4977784.6673122095</v>
      </c>
      <c r="I551" s="791">
        <f>+J531*G551+E551</f>
        <v>4977784.6673122095</v>
      </c>
      <c r="J551" s="788">
        <f t="shared" si="51"/>
        <v>0</v>
      </c>
      <c r="K551" s="788"/>
      <c r="L551" s="1310"/>
      <c r="M551" s="788">
        <f t="shared" si="45"/>
        <v>0</v>
      </c>
      <c r="N551" s="1310"/>
      <c r="O551" s="788">
        <f t="shared" si="46"/>
        <v>0</v>
      </c>
      <c r="P551" s="788">
        <f t="shared" si="47"/>
        <v>0</v>
      </c>
    </row>
    <row r="552" spans="3:16">
      <c r="C552" s="784">
        <f>IF(D529="","-",+C551+1)</f>
        <v>2033</v>
      </c>
      <c r="D552" s="732">
        <f t="shared" si="48"/>
        <v>30795013.631538451</v>
      </c>
      <c r="E552" s="785">
        <f t="shared" si="50"/>
        <v>1338913.6361538463</v>
      </c>
      <c r="F552" s="785">
        <f t="shared" si="44"/>
        <v>29456099.995384604</v>
      </c>
      <c r="G552" s="732">
        <f t="shared" si="49"/>
        <v>30125556.813461527</v>
      </c>
      <c r="H552" s="790">
        <f>+J530*G552+E552</f>
        <v>4822939.0915182363</v>
      </c>
      <c r="I552" s="791">
        <f>+J531*G552+E552</f>
        <v>4822939.0915182363</v>
      </c>
      <c r="J552" s="788">
        <f t="shared" si="51"/>
        <v>0</v>
      </c>
      <c r="K552" s="788"/>
      <c r="L552" s="1310"/>
      <c r="M552" s="788">
        <f t="shared" si="45"/>
        <v>0</v>
      </c>
      <c r="N552" s="1310"/>
      <c r="O552" s="788">
        <f t="shared" si="46"/>
        <v>0</v>
      </c>
      <c r="P552" s="788">
        <f t="shared" si="47"/>
        <v>0</v>
      </c>
    </row>
    <row r="553" spans="3:16">
      <c r="C553" s="784">
        <f>IF(D529="","-",+C552+1)</f>
        <v>2034</v>
      </c>
      <c r="D553" s="732">
        <f t="shared" si="48"/>
        <v>29456099.995384604</v>
      </c>
      <c r="E553" s="785">
        <f t="shared" si="50"/>
        <v>1338913.6361538463</v>
      </c>
      <c r="F553" s="785">
        <f t="shared" si="44"/>
        <v>28117186.359230757</v>
      </c>
      <c r="G553" s="732">
        <f t="shared" si="49"/>
        <v>28786643.17730768</v>
      </c>
      <c r="H553" s="790">
        <f>+J530*G553+E553</f>
        <v>4668093.5157242632</v>
      </c>
      <c r="I553" s="791">
        <f>+J531*G553+E553</f>
        <v>4668093.5157242632</v>
      </c>
      <c r="J553" s="788">
        <f t="shared" si="51"/>
        <v>0</v>
      </c>
      <c r="K553" s="788"/>
      <c r="L553" s="1310"/>
      <c r="M553" s="788">
        <f t="shared" si="45"/>
        <v>0</v>
      </c>
      <c r="N553" s="1310"/>
      <c r="O553" s="788">
        <f t="shared" si="46"/>
        <v>0</v>
      </c>
      <c r="P553" s="788">
        <f t="shared" si="47"/>
        <v>0</v>
      </c>
    </row>
    <row r="554" spans="3:16">
      <c r="C554" s="784">
        <f>IF(D529="","-",+C553+1)</f>
        <v>2035</v>
      </c>
      <c r="D554" s="732">
        <f t="shared" si="48"/>
        <v>28117186.359230757</v>
      </c>
      <c r="E554" s="785">
        <f t="shared" si="50"/>
        <v>1338913.6361538463</v>
      </c>
      <c r="F554" s="785">
        <f t="shared" si="44"/>
        <v>26778272.72307691</v>
      </c>
      <c r="G554" s="732">
        <f t="shared" si="49"/>
        <v>27447729.541153833</v>
      </c>
      <c r="H554" s="790">
        <f>+J530*G554+E554</f>
        <v>4513247.93993029</v>
      </c>
      <c r="I554" s="791">
        <f>+J531*G554+E554</f>
        <v>4513247.93993029</v>
      </c>
      <c r="J554" s="788">
        <f t="shared" si="51"/>
        <v>0</v>
      </c>
      <c r="K554" s="788"/>
      <c r="L554" s="1310"/>
      <c r="M554" s="788">
        <f t="shared" si="45"/>
        <v>0</v>
      </c>
      <c r="N554" s="1310"/>
      <c r="O554" s="788">
        <f t="shared" si="46"/>
        <v>0</v>
      </c>
      <c r="P554" s="788">
        <f t="shared" si="47"/>
        <v>0</v>
      </c>
    </row>
    <row r="555" spans="3:16">
      <c r="C555" s="784">
        <f>IF(D529="","-",+C554+1)</f>
        <v>2036</v>
      </c>
      <c r="D555" s="732">
        <f t="shared" si="48"/>
        <v>26778272.72307691</v>
      </c>
      <c r="E555" s="785">
        <f t="shared" si="50"/>
        <v>1338913.6361538463</v>
      </c>
      <c r="F555" s="785">
        <f t="shared" si="44"/>
        <v>25439359.086923063</v>
      </c>
      <c r="G555" s="732">
        <f t="shared" si="49"/>
        <v>26108815.904999986</v>
      </c>
      <c r="H555" s="790">
        <f>+J530*G555+E555</f>
        <v>4358402.3641363168</v>
      </c>
      <c r="I555" s="791">
        <f>+J531*G555+E555</f>
        <v>4358402.3641363168</v>
      </c>
      <c r="J555" s="788">
        <f t="shared" si="51"/>
        <v>0</v>
      </c>
      <c r="K555" s="788"/>
      <c r="L555" s="1310"/>
      <c r="M555" s="788">
        <f t="shared" si="45"/>
        <v>0</v>
      </c>
      <c r="N555" s="1310"/>
      <c r="O555" s="788">
        <f t="shared" si="46"/>
        <v>0</v>
      </c>
      <c r="P555" s="788">
        <f t="shared" si="47"/>
        <v>0</v>
      </c>
    </row>
    <row r="556" spans="3:16">
      <c r="C556" s="784">
        <f>IF(D529="","-",+C555+1)</f>
        <v>2037</v>
      </c>
      <c r="D556" s="732">
        <f t="shared" si="48"/>
        <v>25439359.086923063</v>
      </c>
      <c r="E556" s="785">
        <f t="shared" si="50"/>
        <v>1338913.6361538463</v>
      </c>
      <c r="F556" s="785">
        <f t="shared" si="44"/>
        <v>24100445.450769216</v>
      </c>
      <c r="G556" s="732">
        <f t="shared" si="49"/>
        <v>24769902.268846139</v>
      </c>
      <c r="H556" s="790">
        <f>+J530*G556+E556</f>
        <v>4203556.7883423436</v>
      </c>
      <c r="I556" s="791">
        <f>+J531*G556+E556</f>
        <v>4203556.7883423436</v>
      </c>
      <c r="J556" s="788">
        <f t="shared" si="51"/>
        <v>0</v>
      </c>
      <c r="K556" s="788"/>
      <c r="L556" s="1310"/>
      <c r="M556" s="788">
        <f t="shared" si="45"/>
        <v>0</v>
      </c>
      <c r="N556" s="1310"/>
      <c r="O556" s="788">
        <f t="shared" si="46"/>
        <v>0</v>
      </c>
      <c r="P556" s="788">
        <f t="shared" si="47"/>
        <v>0</v>
      </c>
    </row>
    <row r="557" spans="3:16">
      <c r="C557" s="784">
        <f>IF(D529="","-",+C556+1)</f>
        <v>2038</v>
      </c>
      <c r="D557" s="732">
        <f t="shared" si="48"/>
        <v>24100445.450769216</v>
      </c>
      <c r="E557" s="785">
        <f t="shared" si="50"/>
        <v>1338913.6361538463</v>
      </c>
      <c r="F557" s="785">
        <f t="shared" si="44"/>
        <v>22761531.814615369</v>
      </c>
      <c r="G557" s="732">
        <f t="shared" si="49"/>
        <v>23430988.632692292</v>
      </c>
      <c r="H557" s="790">
        <f>+J530*G557+E557</f>
        <v>4048711.2125483714</v>
      </c>
      <c r="I557" s="791">
        <f>+J531*G557+E557</f>
        <v>4048711.2125483714</v>
      </c>
      <c r="J557" s="788">
        <f t="shared" si="51"/>
        <v>0</v>
      </c>
      <c r="K557" s="788"/>
      <c r="L557" s="1310"/>
      <c r="M557" s="788">
        <f t="shared" si="45"/>
        <v>0</v>
      </c>
      <c r="N557" s="1310"/>
      <c r="O557" s="788">
        <f t="shared" si="46"/>
        <v>0</v>
      </c>
      <c r="P557" s="788">
        <f t="shared" si="47"/>
        <v>0</v>
      </c>
    </row>
    <row r="558" spans="3:16">
      <c r="C558" s="784">
        <f>IF(D529="","-",+C557+1)</f>
        <v>2039</v>
      </c>
      <c r="D558" s="732">
        <f t="shared" si="48"/>
        <v>22761531.814615369</v>
      </c>
      <c r="E558" s="785">
        <f t="shared" si="50"/>
        <v>1338913.6361538463</v>
      </c>
      <c r="F558" s="785">
        <f t="shared" si="44"/>
        <v>21422618.178461522</v>
      </c>
      <c r="G558" s="732">
        <f t="shared" si="49"/>
        <v>22092074.996538445</v>
      </c>
      <c r="H558" s="790">
        <f>+J530*G558+E558</f>
        <v>3893865.6367543982</v>
      </c>
      <c r="I558" s="791">
        <f>+J531*G558+E558</f>
        <v>3893865.6367543982</v>
      </c>
      <c r="J558" s="788">
        <f t="shared" si="51"/>
        <v>0</v>
      </c>
      <c r="K558" s="788"/>
      <c r="L558" s="1310"/>
      <c r="M558" s="788">
        <f t="shared" si="45"/>
        <v>0</v>
      </c>
      <c r="N558" s="1310"/>
      <c r="O558" s="788">
        <f t="shared" si="46"/>
        <v>0</v>
      </c>
      <c r="P558" s="788">
        <f t="shared" si="47"/>
        <v>0</v>
      </c>
    </row>
    <row r="559" spans="3:16">
      <c r="C559" s="784">
        <f>IF(D529="","-",+C558+1)</f>
        <v>2040</v>
      </c>
      <c r="D559" s="732">
        <f t="shared" si="48"/>
        <v>21422618.178461522</v>
      </c>
      <c r="E559" s="785">
        <f t="shared" si="50"/>
        <v>1338913.6361538463</v>
      </c>
      <c r="F559" s="785">
        <f t="shared" si="44"/>
        <v>20083704.542307675</v>
      </c>
      <c r="G559" s="732">
        <f t="shared" si="49"/>
        <v>20753161.360384598</v>
      </c>
      <c r="H559" s="790">
        <f>+J530*G559+E559</f>
        <v>3739020.0609604251</v>
      </c>
      <c r="I559" s="791">
        <f>+J531*G559+E559</f>
        <v>3739020.0609604251</v>
      </c>
      <c r="J559" s="788">
        <f t="shared" si="51"/>
        <v>0</v>
      </c>
      <c r="K559" s="788"/>
      <c r="L559" s="1310"/>
      <c r="M559" s="788">
        <f t="shared" si="45"/>
        <v>0</v>
      </c>
      <c r="N559" s="1310"/>
      <c r="O559" s="788">
        <f t="shared" si="46"/>
        <v>0</v>
      </c>
      <c r="P559" s="788">
        <f t="shared" si="47"/>
        <v>0</v>
      </c>
    </row>
    <row r="560" spans="3:16">
      <c r="C560" s="784">
        <f>IF(D529="","-",+C559+1)</f>
        <v>2041</v>
      </c>
      <c r="D560" s="732">
        <f t="shared" si="48"/>
        <v>20083704.542307675</v>
      </c>
      <c r="E560" s="785">
        <f t="shared" si="50"/>
        <v>1338913.6361538463</v>
      </c>
      <c r="F560" s="785">
        <f t="shared" si="44"/>
        <v>18744790.906153828</v>
      </c>
      <c r="G560" s="732">
        <f t="shared" si="49"/>
        <v>19414247.724230751</v>
      </c>
      <c r="H560" s="790">
        <f>+J530*G560+E560</f>
        <v>3584174.4851664519</v>
      </c>
      <c r="I560" s="791">
        <f>+J531*G560+E560</f>
        <v>3584174.4851664519</v>
      </c>
      <c r="J560" s="788">
        <f t="shared" si="51"/>
        <v>0</v>
      </c>
      <c r="K560" s="788"/>
      <c r="L560" s="1310"/>
      <c r="M560" s="788">
        <f t="shared" si="45"/>
        <v>0</v>
      </c>
      <c r="N560" s="1310"/>
      <c r="O560" s="788">
        <f t="shared" si="46"/>
        <v>0</v>
      </c>
      <c r="P560" s="788">
        <f t="shared" si="47"/>
        <v>0</v>
      </c>
    </row>
    <row r="561" spans="3:16">
      <c r="C561" s="784">
        <f>IF(D529="","-",+C560+1)</f>
        <v>2042</v>
      </c>
      <c r="D561" s="732">
        <f t="shared" si="48"/>
        <v>18744790.906153828</v>
      </c>
      <c r="E561" s="785">
        <f t="shared" si="50"/>
        <v>1338913.6361538463</v>
      </c>
      <c r="F561" s="785">
        <f t="shared" si="44"/>
        <v>17405877.269999981</v>
      </c>
      <c r="G561" s="732">
        <f t="shared" si="49"/>
        <v>18075334.088076904</v>
      </c>
      <c r="H561" s="790">
        <f>+J530*G561+E561</f>
        <v>3429328.9093724787</v>
      </c>
      <c r="I561" s="791">
        <f>+J531*G561+E561</f>
        <v>3429328.9093724787</v>
      </c>
      <c r="J561" s="788">
        <f t="shared" si="51"/>
        <v>0</v>
      </c>
      <c r="K561" s="788"/>
      <c r="L561" s="1310"/>
      <c r="M561" s="788">
        <f t="shared" si="45"/>
        <v>0</v>
      </c>
      <c r="N561" s="1310"/>
      <c r="O561" s="788">
        <f t="shared" si="46"/>
        <v>0</v>
      </c>
      <c r="P561" s="788">
        <f t="shared" si="47"/>
        <v>0</v>
      </c>
    </row>
    <row r="562" spans="3:16">
      <c r="C562" s="784">
        <f>IF(D529="","-",+C561+1)</f>
        <v>2043</v>
      </c>
      <c r="D562" s="732">
        <f t="shared" si="48"/>
        <v>17405877.269999981</v>
      </c>
      <c r="E562" s="785">
        <f t="shared" si="50"/>
        <v>1338913.6361538463</v>
      </c>
      <c r="F562" s="785">
        <f t="shared" si="44"/>
        <v>16066963.633846134</v>
      </c>
      <c r="G562" s="732">
        <f t="shared" si="49"/>
        <v>16736420.451923057</v>
      </c>
      <c r="H562" s="790">
        <f>+J530*G562+E562</f>
        <v>3274483.3335785056</v>
      </c>
      <c r="I562" s="791">
        <f>+J531*G562+E562</f>
        <v>3274483.3335785056</v>
      </c>
      <c r="J562" s="788">
        <f t="shared" si="51"/>
        <v>0</v>
      </c>
      <c r="K562" s="788"/>
      <c r="L562" s="1310"/>
      <c r="M562" s="788">
        <f t="shared" si="45"/>
        <v>0</v>
      </c>
      <c r="N562" s="1310"/>
      <c r="O562" s="788">
        <f t="shared" si="46"/>
        <v>0</v>
      </c>
      <c r="P562" s="788">
        <f t="shared" si="47"/>
        <v>0</v>
      </c>
    </row>
    <row r="563" spans="3:16">
      <c r="C563" s="784">
        <f>IF(D529="","-",+C562+1)</f>
        <v>2044</v>
      </c>
      <c r="D563" s="732">
        <f t="shared" si="48"/>
        <v>16066963.633846134</v>
      </c>
      <c r="E563" s="785">
        <f t="shared" si="50"/>
        <v>1338913.6361538463</v>
      </c>
      <c r="F563" s="785">
        <f t="shared" si="44"/>
        <v>14728049.997692287</v>
      </c>
      <c r="G563" s="732">
        <f t="shared" si="49"/>
        <v>15397506.81576921</v>
      </c>
      <c r="H563" s="790">
        <f>+J530*G563+E563</f>
        <v>3119637.7577845328</v>
      </c>
      <c r="I563" s="791">
        <f>+J531*G563+E563</f>
        <v>3119637.7577845328</v>
      </c>
      <c r="J563" s="788">
        <f t="shared" si="51"/>
        <v>0</v>
      </c>
      <c r="K563" s="788"/>
      <c r="L563" s="1310"/>
      <c r="M563" s="788">
        <f t="shared" si="45"/>
        <v>0</v>
      </c>
      <c r="N563" s="1310"/>
      <c r="O563" s="788">
        <f t="shared" si="46"/>
        <v>0</v>
      </c>
      <c r="P563" s="788">
        <f t="shared" si="47"/>
        <v>0</v>
      </c>
    </row>
    <row r="564" spans="3:16">
      <c r="C564" s="784">
        <f>IF(D529="","-",+C563+1)</f>
        <v>2045</v>
      </c>
      <c r="D564" s="732">
        <f t="shared" si="48"/>
        <v>14728049.997692287</v>
      </c>
      <c r="E564" s="785">
        <f t="shared" si="50"/>
        <v>1338913.6361538463</v>
      </c>
      <c r="F564" s="785">
        <f t="shared" si="44"/>
        <v>13389136.36153844</v>
      </c>
      <c r="G564" s="732">
        <f t="shared" si="49"/>
        <v>14058593.179615363</v>
      </c>
      <c r="H564" s="790">
        <f>+J530*G564+E564</f>
        <v>2964792.1819905597</v>
      </c>
      <c r="I564" s="791">
        <f>+J531*G564+E564</f>
        <v>2964792.1819905597</v>
      </c>
      <c r="J564" s="788">
        <f t="shared" si="51"/>
        <v>0</v>
      </c>
      <c r="K564" s="788"/>
      <c r="L564" s="1310"/>
      <c r="M564" s="788">
        <f t="shared" si="45"/>
        <v>0</v>
      </c>
      <c r="N564" s="1310"/>
      <c r="O564" s="788">
        <f t="shared" si="46"/>
        <v>0</v>
      </c>
      <c r="P564" s="788">
        <f t="shared" si="47"/>
        <v>0</v>
      </c>
    </row>
    <row r="565" spans="3:16">
      <c r="C565" s="784">
        <f>IF(D529="","-",+C564+1)</f>
        <v>2046</v>
      </c>
      <c r="D565" s="732">
        <f t="shared" si="48"/>
        <v>13389136.36153844</v>
      </c>
      <c r="E565" s="785">
        <f t="shared" si="50"/>
        <v>1338913.6361538463</v>
      </c>
      <c r="F565" s="785">
        <f t="shared" si="44"/>
        <v>12050222.725384593</v>
      </c>
      <c r="G565" s="732">
        <f t="shared" si="49"/>
        <v>12719679.543461516</v>
      </c>
      <c r="H565" s="790">
        <f>+J530*G565+E565</f>
        <v>2809946.606196587</v>
      </c>
      <c r="I565" s="791">
        <f>+J531*G565+E565</f>
        <v>2809946.606196587</v>
      </c>
      <c r="J565" s="788">
        <f t="shared" si="51"/>
        <v>0</v>
      </c>
      <c r="K565" s="788"/>
      <c r="L565" s="1310"/>
      <c r="M565" s="788">
        <f t="shared" si="45"/>
        <v>0</v>
      </c>
      <c r="N565" s="1310"/>
      <c r="O565" s="788">
        <f t="shared" si="46"/>
        <v>0</v>
      </c>
      <c r="P565" s="788">
        <f t="shared" si="47"/>
        <v>0</v>
      </c>
    </row>
    <row r="566" spans="3:16">
      <c r="C566" s="784">
        <f>IF(D529="","-",+C565+1)</f>
        <v>2047</v>
      </c>
      <c r="D566" s="732">
        <f t="shared" si="48"/>
        <v>12050222.725384593</v>
      </c>
      <c r="E566" s="785">
        <f t="shared" si="50"/>
        <v>1338913.6361538463</v>
      </c>
      <c r="F566" s="785">
        <f t="shared" si="44"/>
        <v>10711309.089230746</v>
      </c>
      <c r="G566" s="732">
        <f t="shared" si="49"/>
        <v>11380765.90730767</v>
      </c>
      <c r="H566" s="790">
        <f>+J530*G566+E566</f>
        <v>2655101.0304026138</v>
      </c>
      <c r="I566" s="791">
        <f>+J531*G566+E566</f>
        <v>2655101.0304026138</v>
      </c>
      <c r="J566" s="788">
        <f t="shared" si="51"/>
        <v>0</v>
      </c>
      <c r="K566" s="788"/>
      <c r="L566" s="1310"/>
      <c r="M566" s="788">
        <f t="shared" si="45"/>
        <v>0</v>
      </c>
      <c r="N566" s="1310"/>
      <c r="O566" s="788">
        <f t="shared" si="46"/>
        <v>0</v>
      </c>
      <c r="P566" s="788">
        <f t="shared" si="47"/>
        <v>0</v>
      </c>
    </row>
    <row r="567" spans="3:16">
      <c r="C567" s="784">
        <f>IF(D529="","-",+C566+1)</f>
        <v>2048</v>
      </c>
      <c r="D567" s="732">
        <f t="shared" si="48"/>
        <v>10711309.089230746</v>
      </c>
      <c r="E567" s="785">
        <f t="shared" si="50"/>
        <v>1338913.6361538463</v>
      </c>
      <c r="F567" s="785">
        <f t="shared" si="44"/>
        <v>9372395.4530768991</v>
      </c>
      <c r="G567" s="732">
        <f t="shared" si="49"/>
        <v>10041852.271153823</v>
      </c>
      <c r="H567" s="790">
        <f>+J530*G567+E567</f>
        <v>2500255.4546086406</v>
      </c>
      <c r="I567" s="791">
        <f>+J531*G567+E567</f>
        <v>2500255.4546086406</v>
      </c>
      <c r="J567" s="788">
        <f t="shared" si="51"/>
        <v>0</v>
      </c>
      <c r="K567" s="788"/>
      <c r="L567" s="1310"/>
      <c r="M567" s="788">
        <f t="shared" si="45"/>
        <v>0</v>
      </c>
      <c r="N567" s="1310"/>
      <c r="O567" s="788">
        <f t="shared" si="46"/>
        <v>0</v>
      </c>
      <c r="P567" s="788">
        <f t="shared" si="47"/>
        <v>0</v>
      </c>
    </row>
    <row r="568" spans="3:16">
      <c r="C568" s="784">
        <f>IF(D529="","-",+C567+1)</f>
        <v>2049</v>
      </c>
      <c r="D568" s="732">
        <f t="shared" si="48"/>
        <v>9372395.4530768991</v>
      </c>
      <c r="E568" s="785">
        <f t="shared" si="50"/>
        <v>1338913.6361538463</v>
      </c>
      <c r="F568" s="785">
        <f t="shared" si="44"/>
        <v>8033481.816923053</v>
      </c>
      <c r="G568" s="732">
        <f t="shared" si="49"/>
        <v>8702938.6349999756</v>
      </c>
      <c r="H568" s="790">
        <f>+J530*G568+E568</f>
        <v>2345409.8788146675</v>
      </c>
      <c r="I568" s="791">
        <f>+J531*G568+E568</f>
        <v>2345409.8788146675</v>
      </c>
      <c r="J568" s="788">
        <f t="shared" si="51"/>
        <v>0</v>
      </c>
      <c r="K568" s="788"/>
      <c r="L568" s="1310"/>
      <c r="M568" s="788">
        <f t="shared" si="45"/>
        <v>0</v>
      </c>
      <c r="N568" s="1310"/>
      <c r="O568" s="788">
        <f t="shared" si="46"/>
        <v>0</v>
      </c>
      <c r="P568" s="788">
        <f t="shared" si="47"/>
        <v>0</v>
      </c>
    </row>
    <row r="569" spans="3:16">
      <c r="C569" s="784">
        <f>IF(D529="","-",+C568+1)</f>
        <v>2050</v>
      </c>
      <c r="D569" s="732">
        <f t="shared" si="48"/>
        <v>8033481.816923053</v>
      </c>
      <c r="E569" s="785">
        <f t="shared" si="50"/>
        <v>1338913.6361538463</v>
      </c>
      <c r="F569" s="785">
        <f t="shared" si="44"/>
        <v>6694568.180769207</v>
      </c>
      <c r="G569" s="732">
        <f t="shared" si="49"/>
        <v>7364024.9988461304</v>
      </c>
      <c r="H569" s="790">
        <f>+J530*G569+E569</f>
        <v>2190564.3030206948</v>
      </c>
      <c r="I569" s="791">
        <f>+J531*G569+E569</f>
        <v>2190564.3030206948</v>
      </c>
      <c r="J569" s="788">
        <f t="shared" si="51"/>
        <v>0</v>
      </c>
      <c r="K569" s="788"/>
      <c r="L569" s="1310"/>
      <c r="M569" s="788">
        <f t="shared" si="45"/>
        <v>0</v>
      </c>
      <c r="N569" s="1310"/>
      <c r="O569" s="788">
        <f t="shared" si="46"/>
        <v>0</v>
      </c>
      <c r="P569" s="788">
        <f t="shared" si="47"/>
        <v>0</v>
      </c>
    </row>
    <row r="570" spans="3:16">
      <c r="C570" s="784">
        <f>IF(D529="","-",+C569+1)</f>
        <v>2051</v>
      </c>
      <c r="D570" s="732">
        <f t="shared" si="48"/>
        <v>6694568.180769207</v>
      </c>
      <c r="E570" s="785">
        <f t="shared" si="50"/>
        <v>1338913.6361538463</v>
      </c>
      <c r="F570" s="785">
        <f t="shared" si="44"/>
        <v>5355654.5446153609</v>
      </c>
      <c r="G570" s="732">
        <f t="shared" si="49"/>
        <v>6025111.3626922835</v>
      </c>
      <c r="H570" s="790">
        <f>+J530*G570+E570</f>
        <v>2035718.7272267216</v>
      </c>
      <c r="I570" s="791">
        <f>+J531*G570+E570</f>
        <v>2035718.7272267216</v>
      </c>
      <c r="J570" s="788">
        <f t="shared" si="51"/>
        <v>0</v>
      </c>
      <c r="K570" s="788"/>
      <c r="L570" s="1310"/>
      <c r="M570" s="788">
        <f t="shared" si="45"/>
        <v>0</v>
      </c>
      <c r="N570" s="1310"/>
      <c r="O570" s="788">
        <f t="shared" si="46"/>
        <v>0</v>
      </c>
      <c r="P570" s="788">
        <f t="shared" si="47"/>
        <v>0</v>
      </c>
    </row>
    <row r="571" spans="3:16">
      <c r="C571" s="784">
        <f>IF(D529="","-",+C570+1)</f>
        <v>2052</v>
      </c>
      <c r="D571" s="732">
        <f t="shared" si="48"/>
        <v>5355654.5446153609</v>
      </c>
      <c r="E571" s="785">
        <f t="shared" si="50"/>
        <v>1338913.6361538463</v>
      </c>
      <c r="F571" s="785">
        <f t="shared" si="44"/>
        <v>4016740.9084615149</v>
      </c>
      <c r="G571" s="732">
        <f t="shared" si="49"/>
        <v>4686197.7265384383</v>
      </c>
      <c r="H571" s="790">
        <f>+J530*G571+E571</f>
        <v>1880873.1514327489</v>
      </c>
      <c r="I571" s="791">
        <f>+J531*G571+E571</f>
        <v>1880873.1514327489</v>
      </c>
      <c r="J571" s="788">
        <f t="shared" si="51"/>
        <v>0</v>
      </c>
      <c r="K571" s="788"/>
      <c r="L571" s="1310"/>
      <c r="M571" s="788">
        <f t="shared" si="45"/>
        <v>0</v>
      </c>
      <c r="N571" s="1310"/>
      <c r="O571" s="788">
        <f t="shared" si="46"/>
        <v>0</v>
      </c>
      <c r="P571" s="788">
        <f t="shared" si="47"/>
        <v>0</v>
      </c>
    </row>
    <row r="572" spans="3:16">
      <c r="C572" s="784">
        <f>IF(D529="","-",+C571+1)</f>
        <v>2053</v>
      </c>
      <c r="D572" s="732">
        <f t="shared" si="48"/>
        <v>4016740.9084615149</v>
      </c>
      <c r="E572" s="785">
        <f t="shared" si="50"/>
        <v>1338913.6361538463</v>
      </c>
      <c r="F572" s="785">
        <f t="shared" si="44"/>
        <v>2677827.2723076688</v>
      </c>
      <c r="G572" s="732">
        <f t="shared" si="49"/>
        <v>3347284.0903845918</v>
      </c>
      <c r="H572" s="790">
        <f>+J530*G572+E572</f>
        <v>1726027.5756387759</v>
      </c>
      <c r="I572" s="791">
        <f>+J531*G572+E572</f>
        <v>1726027.5756387759</v>
      </c>
      <c r="J572" s="788">
        <f t="shared" si="51"/>
        <v>0</v>
      </c>
      <c r="K572" s="788"/>
      <c r="L572" s="1310"/>
      <c r="M572" s="788">
        <f t="shared" si="45"/>
        <v>0</v>
      </c>
      <c r="N572" s="1310"/>
      <c r="O572" s="788">
        <f t="shared" si="46"/>
        <v>0</v>
      </c>
      <c r="P572" s="788">
        <f t="shared" si="47"/>
        <v>0</v>
      </c>
    </row>
    <row r="573" spans="3:16">
      <c r="C573" s="784">
        <f>IF(D529="","-",+C572+1)</f>
        <v>2054</v>
      </c>
      <c r="D573" s="732">
        <f t="shared" si="48"/>
        <v>2677827.2723076688</v>
      </c>
      <c r="E573" s="785">
        <f t="shared" si="50"/>
        <v>1338913.6361538463</v>
      </c>
      <c r="F573" s="785">
        <f t="shared" si="44"/>
        <v>1338913.6361538225</v>
      </c>
      <c r="G573" s="732">
        <f t="shared" si="49"/>
        <v>2008370.4542307458</v>
      </c>
      <c r="H573" s="790">
        <f>+J530*G573+E573</f>
        <v>1571181.999844803</v>
      </c>
      <c r="I573" s="791">
        <f>+J531*G573+E573</f>
        <v>1571181.999844803</v>
      </c>
      <c r="J573" s="788">
        <f t="shared" si="51"/>
        <v>0</v>
      </c>
      <c r="K573" s="788"/>
      <c r="L573" s="1310"/>
      <c r="M573" s="788">
        <f t="shared" si="45"/>
        <v>0</v>
      </c>
      <c r="N573" s="1310"/>
      <c r="O573" s="788">
        <f t="shared" si="46"/>
        <v>0</v>
      </c>
      <c r="P573" s="788">
        <f t="shared" si="47"/>
        <v>0</v>
      </c>
    </row>
    <row r="574" spans="3:16">
      <c r="C574" s="784">
        <f>IF(D529="","-",+C573+1)</f>
        <v>2055</v>
      </c>
      <c r="D574" s="732">
        <f t="shared" si="48"/>
        <v>1338913.6361538225</v>
      </c>
      <c r="E574" s="785">
        <f t="shared" si="50"/>
        <v>1338913.6361538225</v>
      </c>
      <c r="F574" s="785">
        <f t="shared" si="44"/>
        <v>0</v>
      </c>
      <c r="G574" s="732">
        <f t="shared" si="49"/>
        <v>669456.81807691127</v>
      </c>
      <c r="H574" s="790">
        <f>+J530*G574+E574</f>
        <v>1416336.4240508077</v>
      </c>
      <c r="I574" s="791">
        <f>+J531*G574+E574</f>
        <v>1416336.4240508077</v>
      </c>
      <c r="J574" s="788">
        <f t="shared" si="51"/>
        <v>0</v>
      </c>
      <c r="K574" s="788"/>
      <c r="L574" s="1310"/>
      <c r="M574" s="788">
        <f t="shared" si="45"/>
        <v>0</v>
      </c>
      <c r="N574" s="1310"/>
      <c r="O574" s="788">
        <f t="shared" si="46"/>
        <v>0</v>
      </c>
      <c r="P574" s="788">
        <f t="shared" si="47"/>
        <v>0</v>
      </c>
    </row>
    <row r="575" spans="3:16">
      <c r="C575" s="784">
        <f>IF(D529="","-",+C574+1)</f>
        <v>2056</v>
      </c>
      <c r="D575" s="732">
        <f t="shared" si="48"/>
        <v>0</v>
      </c>
      <c r="E575" s="785">
        <f t="shared" si="50"/>
        <v>0</v>
      </c>
      <c r="F575" s="785">
        <f t="shared" si="44"/>
        <v>0</v>
      </c>
      <c r="G575" s="732">
        <f t="shared" si="49"/>
        <v>0</v>
      </c>
      <c r="H575" s="790">
        <f>+J530*G575+E575</f>
        <v>0</v>
      </c>
      <c r="I575" s="791">
        <f>+J531*G575+E575</f>
        <v>0</v>
      </c>
      <c r="J575" s="788">
        <f t="shared" si="51"/>
        <v>0</v>
      </c>
      <c r="K575" s="788"/>
      <c r="L575" s="1310"/>
      <c r="M575" s="788">
        <f t="shared" si="45"/>
        <v>0</v>
      </c>
      <c r="N575" s="1310"/>
      <c r="O575" s="788">
        <f t="shared" si="46"/>
        <v>0</v>
      </c>
      <c r="P575" s="788">
        <f t="shared" si="47"/>
        <v>0</v>
      </c>
    </row>
    <row r="576" spans="3:16">
      <c r="C576" s="784">
        <f>IF(D529="","-",+C575+1)</f>
        <v>2057</v>
      </c>
      <c r="D576" s="732">
        <f t="shared" si="48"/>
        <v>0</v>
      </c>
      <c r="E576" s="785">
        <f t="shared" si="50"/>
        <v>0</v>
      </c>
      <c r="F576" s="785">
        <f t="shared" si="44"/>
        <v>0</v>
      </c>
      <c r="G576" s="732">
        <f t="shared" si="49"/>
        <v>0</v>
      </c>
      <c r="H576" s="790">
        <f>+J530*G576+E576</f>
        <v>0</v>
      </c>
      <c r="I576" s="791">
        <f>+J531*G576+E576</f>
        <v>0</v>
      </c>
      <c r="J576" s="788">
        <f t="shared" si="51"/>
        <v>0</v>
      </c>
      <c r="K576" s="788"/>
      <c r="L576" s="1310"/>
      <c r="M576" s="788">
        <f t="shared" si="45"/>
        <v>0</v>
      </c>
      <c r="N576" s="1310"/>
      <c r="O576" s="788">
        <f t="shared" si="46"/>
        <v>0</v>
      </c>
      <c r="P576" s="788">
        <f t="shared" si="47"/>
        <v>0</v>
      </c>
    </row>
    <row r="577" spans="3:16">
      <c r="C577" s="784">
        <f>IF(D529="","-",+C576+1)</f>
        <v>2058</v>
      </c>
      <c r="D577" s="732">
        <f t="shared" si="48"/>
        <v>0</v>
      </c>
      <c r="E577" s="785">
        <f t="shared" si="50"/>
        <v>0</v>
      </c>
      <c r="F577" s="785">
        <f t="shared" si="44"/>
        <v>0</v>
      </c>
      <c r="G577" s="732">
        <f t="shared" si="49"/>
        <v>0</v>
      </c>
      <c r="H577" s="790">
        <f>+J530*G577+E577</f>
        <v>0</v>
      </c>
      <c r="I577" s="791">
        <f>+J531*G577+E577</f>
        <v>0</v>
      </c>
      <c r="J577" s="788">
        <f t="shared" si="51"/>
        <v>0</v>
      </c>
      <c r="K577" s="788"/>
      <c r="L577" s="1310"/>
      <c r="M577" s="788">
        <f t="shared" si="45"/>
        <v>0</v>
      </c>
      <c r="N577" s="1310"/>
      <c r="O577" s="788">
        <f t="shared" si="46"/>
        <v>0</v>
      </c>
      <c r="P577" s="788">
        <f t="shared" si="47"/>
        <v>0</v>
      </c>
    </row>
    <row r="578" spans="3:16">
      <c r="C578" s="784">
        <f>IF(D529="","-",+C577+1)</f>
        <v>2059</v>
      </c>
      <c r="D578" s="732">
        <f t="shared" si="48"/>
        <v>0</v>
      </c>
      <c r="E578" s="785">
        <f t="shared" si="50"/>
        <v>0</v>
      </c>
      <c r="F578" s="785">
        <f t="shared" si="44"/>
        <v>0</v>
      </c>
      <c r="G578" s="732">
        <f t="shared" si="49"/>
        <v>0</v>
      </c>
      <c r="H578" s="790">
        <f>+J530*G578+E578</f>
        <v>0</v>
      </c>
      <c r="I578" s="791">
        <f>+J531*G578+E578</f>
        <v>0</v>
      </c>
      <c r="J578" s="788">
        <f t="shared" si="51"/>
        <v>0</v>
      </c>
      <c r="K578" s="788"/>
      <c r="L578" s="1310"/>
      <c r="M578" s="788">
        <f t="shared" si="45"/>
        <v>0</v>
      </c>
      <c r="N578" s="1310"/>
      <c r="O578" s="788">
        <f t="shared" si="46"/>
        <v>0</v>
      </c>
      <c r="P578" s="788">
        <f t="shared" si="47"/>
        <v>0</v>
      </c>
    </row>
    <row r="579" spans="3:16">
      <c r="C579" s="784">
        <f>IF(D529="","-",+C578+1)</f>
        <v>2060</v>
      </c>
      <c r="D579" s="732">
        <f t="shared" si="48"/>
        <v>0</v>
      </c>
      <c r="E579" s="785">
        <f t="shared" si="50"/>
        <v>0</v>
      </c>
      <c r="F579" s="785">
        <f t="shared" si="44"/>
        <v>0</v>
      </c>
      <c r="G579" s="732">
        <f t="shared" si="49"/>
        <v>0</v>
      </c>
      <c r="H579" s="790">
        <f>+J530*G579+E579</f>
        <v>0</v>
      </c>
      <c r="I579" s="791">
        <f>+J531*G579+E579</f>
        <v>0</v>
      </c>
      <c r="J579" s="788">
        <f t="shared" si="51"/>
        <v>0</v>
      </c>
      <c r="K579" s="788"/>
      <c r="L579" s="1310"/>
      <c r="M579" s="788">
        <f t="shared" si="45"/>
        <v>0</v>
      </c>
      <c r="N579" s="1310"/>
      <c r="O579" s="788">
        <f t="shared" si="46"/>
        <v>0</v>
      </c>
      <c r="P579" s="788">
        <f t="shared" si="47"/>
        <v>0</v>
      </c>
    </row>
    <row r="580" spans="3:16">
      <c r="C580" s="784">
        <f>IF(D529="","-",+C579+1)</f>
        <v>2061</v>
      </c>
      <c r="D580" s="732">
        <f t="shared" si="48"/>
        <v>0</v>
      </c>
      <c r="E580" s="785">
        <f t="shared" si="50"/>
        <v>0</v>
      </c>
      <c r="F580" s="785">
        <f t="shared" si="44"/>
        <v>0</v>
      </c>
      <c r="G580" s="732">
        <f t="shared" si="49"/>
        <v>0</v>
      </c>
      <c r="H580" s="790">
        <f>+J530*G580+E580</f>
        <v>0</v>
      </c>
      <c r="I580" s="791">
        <f>+J531*G580+E580</f>
        <v>0</v>
      </c>
      <c r="J580" s="788">
        <f t="shared" si="51"/>
        <v>0</v>
      </c>
      <c r="K580" s="788"/>
      <c r="L580" s="1310"/>
      <c r="M580" s="788">
        <f t="shared" si="45"/>
        <v>0</v>
      </c>
      <c r="N580" s="1310"/>
      <c r="O580" s="788">
        <f t="shared" si="46"/>
        <v>0</v>
      </c>
      <c r="P580" s="788">
        <f t="shared" si="47"/>
        <v>0</v>
      </c>
    </row>
    <row r="581" spans="3:16">
      <c r="C581" s="784">
        <f>IF(D529="","-",+C580+1)</f>
        <v>2062</v>
      </c>
      <c r="D581" s="732">
        <f t="shared" si="48"/>
        <v>0</v>
      </c>
      <c r="E581" s="785">
        <f t="shared" si="50"/>
        <v>0</v>
      </c>
      <c r="F581" s="785">
        <f t="shared" si="44"/>
        <v>0</v>
      </c>
      <c r="G581" s="732">
        <f t="shared" si="49"/>
        <v>0</v>
      </c>
      <c r="H581" s="790">
        <f>+J530*G581+E581</f>
        <v>0</v>
      </c>
      <c r="I581" s="791">
        <f>+J531*G581+E581</f>
        <v>0</v>
      </c>
      <c r="J581" s="788">
        <f t="shared" si="51"/>
        <v>0</v>
      </c>
      <c r="K581" s="788"/>
      <c r="L581" s="1310"/>
      <c r="M581" s="788">
        <f t="shared" si="45"/>
        <v>0</v>
      </c>
      <c r="N581" s="1310"/>
      <c r="O581" s="788">
        <f t="shared" si="46"/>
        <v>0</v>
      </c>
      <c r="P581" s="788">
        <f t="shared" si="47"/>
        <v>0</v>
      </c>
    </row>
    <row r="582" spans="3:16">
      <c r="C582" s="784">
        <f>IF(D529="","-",+C581+1)</f>
        <v>2063</v>
      </c>
      <c r="D582" s="732">
        <f t="shared" si="48"/>
        <v>0</v>
      </c>
      <c r="E582" s="785">
        <f t="shared" si="50"/>
        <v>0</v>
      </c>
      <c r="F582" s="785">
        <f t="shared" si="44"/>
        <v>0</v>
      </c>
      <c r="G582" s="732">
        <f t="shared" si="49"/>
        <v>0</v>
      </c>
      <c r="H582" s="790">
        <f>+J530*G582+E582</f>
        <v>0</v>
      </c>
      <c r="I582" s="791">
        <f>+J531*G582+E582</f>
        <v>0</v>
      </c>
      <c r="J582" s="788">
        <f t="shared" si="51"/>
        <v>0</v>
      </c>
      <c r="K582" s="788"/>
      <c r="L582" s="1310"/>
      <c r="M582" s="788">
        <f t="shared" si="45"/>
        <v>0</v>
      </c>
      <c r="N582" s="1310"/>
      <c r="O582" s="788">
        <f t="shared" si="46"/>
        <v>0</v>
      </c>
      <c r="P582" s="788">
        <f t="shared" si="47"/>
        <v>0</v>
      </c>
    </row>
    <row r="583" spans="3:16">
      <c r="C583" s="784">
        <f>IF(D529="","-",+C582+1)</f>
        <v>2064</v>
      </c>
      <c r="D583" s="732">
        <f t="shared" si="48"/>
        <v>0</v>
      </c>
      <c r="E583" s="785">
        <f t="shared" si="50"/>
        <v>0</v>
      </c>
      <c r="F583" s="785">
        <f t="shared" si="44"/>
        <v>0</v>
      </c>
      <c r="G583" s="732">
        <f t="shared" si="49"/>
        <v>0</v>
      </c>
      <c r="H583" s="790">
        <f>+J530*G583+E583</f>
        <v>0</v>
      </c>
      <c r="I583" s="791">
        <f>+J531*G583+E583</f>
        <v>0</v>
      </c>
      <c r="J583" s="788">
        <f t="shared" si="51"/>
        <v>0</v>
      </c>
      <c r="K583" s="788"/>
      <c r="L583" s="1310"/>
      <c r="M583" s="788">
        <f t="shared" si="45"/>
        <v>0</v>
      </c>
      <c r="N583" s="1310"/>
      <c r="O583" s="788">
        <f t="shared" si="46"/>
        <v>0</v>
      </c>
      <c r="P583" s="788">
        <f t="shared" si="47"/>
        <v>0</v>
      </c>
    </row>
    <row r="584" spans="3:16">
      <c r="C584" s="784">
        <f>IF(D529="","-",+C583+1)</f>
        <v>2065</v>
      </c>
      <c r="D584" s="732">
        <f t="shared" si="48"/>
        <v>0</v>
      </c>
      <c r="E584" s="785">
        <f t="shared" si="50"/>
        <v>0</v>
      </c>
      <c r="F584" s="785">
        <f t="shared" si="44"/>
        <v>0</v>
      </c>
      <c r="G584" s="732">
        <f t="shared" si="49"/>
        <v>0</v>
      </c>
      <c r="H584" s="790">
        <f>+J530*G584+E584</f>
        <v>0</v>
      </c>
      <c r="I584" s="791">
        <f>+J531*G584+E584</f>
        <v>0</v>
      </c>
      <c r="J584" s="788">
        <f t="shared" si="51"/>
        <v>0</v>
      </c>
      <c r="K584" s="788"/>
      <c r="L584" s="1310"/>
      <c r="M584" s="788">
        <f t="shared" si="45"/>
        <v>0</v>
      </c>
      <c r="N584" s="1310"/>
      <c r="O584" s="788">
        <f t="shared" si="46"/>
        <v>0</v>
      </c>
      <c r="P584" s="788">
        <f t="shared" si="47"/>
        <v>0</v>
      </c>
    </row>
    <row r="585" spans="3:16">
      <c r="C585" s="784">
        <f>IF(D529="","-",+C584+1)</f>
        <v>2066</v>
      </c>
      <c r="D585" s="732">
        <f t="shared" si="48"/>
        <v>0</v>
      </c>
      <c r="E585" s="785">
        <f t="shared" si="50"/>
        <v>0</v>
      </c>
      <c r="F585" s="785">
        <f t="shared" si="44"/>
        <v>0</v>
      </c>
      <c r="G585" s="732">
        <f t="shared" si="49"/>
        <v>0</v>
      </c>
      <c r="H585" s="790">
        <f>+J530*G585+E585</f>
        <v>0</v>
      </c>
      <c r="I585" s="791">
        <f>+J531*G585+E585</f>
        <v>0</v>
      </c>
      <c r="J585" s="788">
        <f t="shared" si="51"/>
        <v>0</v>
      </c>
      <c r="K585" s="788"/>
      <c r="L585" s="1310"/>
      <c r="M585" s="788">
        <f t="shared" si="45"/>
        <v>0</v>
      </c>
      <c r="N585" s="1310"/>
      <c r="O585" s="788">
        <f t="shared" si="46"/>
        <v>0</v>
      </c>
      <c r="P585" s="788">
        <f t="shared" si="47"/>
        <v>0</v>
      </c>
    </row>
    <row r="586" spans="3:16">
      <c r="C586" s="784">
        <f>IF(D529="","-",+C585+1)</f>
        <v>2067</v>
      </c>
      <c r="D586" s="732">
        <f t="shared" si="48"/>
        <v>0</v>
      </c>
      <c r="E586" s="785">
        <f t="shared" si="50"/>
        <v>0</v>
      </c>
      <c r="F586" s="785">
        <f t="shared" si="44"/>
        <v>0</v>
      </c>
      <c r="G586" s="732">
        <f t="shared" si="49"/>
        <v>0</v>
      </c>
      <c r="H586" s="790">
        <f>+J530*G586+E586</f>
        <v>0</v>
      </c>
      <c r="I586" s="791">
        <f>+J531*G586+E586</f>
        <v>0</v>
      </c>
      <c r="J586" s="788">
        <f t="shared" si="51"/>
        <v>0</v>
      </c>
      <c r="K586" s="788"/>
      <c r="L586" s="1310"/>
      <c r="M586" s="788">
        <f t="shared" si="45"/>
        <v>0</v>
      </c>
      <c r="N586" s="1310"/>
      <c r="O586" s="788">
        <f t="shared" si="46"/>
        <v>0</v>
      </c>
      <c r="P586" s="788">
        <f t="shared" si="47"/>
        <v>0</v>
      </c>
    </row>
    <row r="587" spans="3:16">
      <c r="C587" s="784">
        <f>IF(D529="","-",+C586+1)</f>
        <v>2068</v>
      </c>
      <c r="D587" s="732">
        <f t="shared" si="48"/>
        <v>0</v>
      </c>
      <c r="E587" s="785">
        <f t="shared" si="50"/>
        <v>0</v>
      </c>
      <c r="F587" s="785">
        <f t="shared" si="44"/>
        <v>0</v>
      </c>
      <c r="G587" s="732">
        <f t="shared" si="49"/>
        <v>0</v>
      </c>
      <c r="H587" s="790">
        <f>+J530*G587+E587</f>
        <v>0</v>
      </c>
      <c r="I587" s="791">
        <f>+J531*G587+E587</f>
        <v>0</v>
      </c>
      <c r="J587" s="788">
        <f t="shared" si="51"/>
        <v>0</v>
      </c>
      <c r="K587" s="788"/>
      <c r="L587" s="1310"/>
      <c r="M587" s="788">
        <f t="shared" si="45"/>
        <v>0</v>
      </c>
      <c r="N587" s="1310"/>
      <c r="O587" s="788">
        <f t="shared" si="46"/>
        <v>0</v>
      </c>
      <c r="P587" s="788">
        <f t="shared" si="47"/>
        <v>0</v>
      </c>
    </row>
    <row r="588" spans="3:16">
      <c r="C588" s="784">
        <f>IF(D529="","-",+C587+1)</f>
        <v>2069</v>
      </c>
      <c r="D588" s="732">
        <f t="shared" si="48"/>
        <v>0</v>
      </c>
      <c r="E588" s="785">
        <f t="shared" si="50"/>
        <v>0</v>
      </c>
      <c r="F588" s="785">
        <f t="shared" si="44"/>
        <v>0</v>
      </c>
      <c r="G588" s="732">
        <f t="shared" si="49"/>
        <v>0</v>
      </c>
      <c r="H588" s="790">
        <f>+J530*G588+E588</f>
        <v>0</v>
      </c>
      <c r="I588" s="791">
        <f>+J531*G588+E588</f>
        <v>0</v>
      </c>
      <c r="J588" s="788">
        <f t="shared" si="51"/>
        <v>0</v>
      </c>
      <c r="K588" s="788"/>
      <c r="L588" s="1310"/>
      <c r="M588" s="788">
        <f t="shared" si="45"/>
        <v>0</v>
      </c>
      <c r="N588" s="1310"/>
      <c r="O588" s="788">
        <f t="shared" si="46"/>
        <v>0</v>
      </c>
      <c r="P588" s="788">
        <f t="shared" si="47"/>
        <v>0</v>
      </c>
    </row>
    <row r="589" spans="3:16">
      <c r="C589" s="784">
        <f>IF(D529="","-",+C588+1)</f>
        <v>2070</v>
      </c>
      <c r="D589" s="732">
        <f t="shared" ref="D589:D594" si="52">F588</f>
        <v>0</v>
      </c>
      <c r="E589" s="785">
        <f t="shared" si="50"/>
        <v>0</v>
      </c>
      <c r="F589" s="785">
        <f t="shared" si="44"/>
        <v>0</v>
      </c>
      <c r="G589" s="732">
        <f t="shared" si="49"/>
        <v>0</v>
      </c>
      <c r="H589" s="790">
        <f>+J530*G589+E589</f>
        <v>0</v>
      </c>
      <c r="I589" s="791">
        <f>+J531*G589+E589</f>
        <v>0</v>
      </c>
      <c r="J589" s="788">
        <f t="shared" si="51"/>
        <v>0</v>
      </c>
      <c r="K589" s="788"/>
      <c r="L589" s="1310"/>
      <c r="M589" s="788">
        <f t="shared" si="45"/>
        <v>0</v>
      </c>
      <c r="N589" s="1310"/>
      <c r="O589" s="788">
        <f t="shared" si="46"/>
        <v>0</v>
      </c>
      <c r="P589" s="788">
        <f t="shared" si="47"/>
        <v>0</v>
      </c>
    </row>
    <row r="590" spans="3:16">
      <c r="C590" s="784">
        <f>IF(D529="","-",+C589+1)</f>
        <v>2071</v>
      </c>
      <c r="D590" s="732">
        <f t="shared" si="52"/>
        <v>0</v>
      </c>
      <c r="E590" s="785">
        <f t="shared" si="50"/>
        <v>0</v>
      </c>
      <c r="F590" s="785">
        <f t="shared" si="44"/>
        <v>0</v>
      </c>
      <c r="G590" s="732">
        <f t="shared" si="49"/>
        <v>0</v>
      </c>
      <c r="H590" s="790">
        <f>+J530*G590+E590</f>
        <v>0</v>
      </c>
      <c r="I590" s="791">
        <f>+J531*G590+E590</f>
        <v>0</v>
      </c>
      <c r="J590" s="788">
        <f t="shared" si="51"/>
        <v>0</v>
      </c>
      <c r="K590" s="788"/>
      <c r="L590" s="1310"/>
      <c r="M590" s="788">
        <f t="shared" si="45"/>
        <v>0</v>
      </c>
      <c r="N590" s="1310"/>
      <c r="O590" s="788">
        <f t="shared" si="46"/>
        <v>0</v>
      </c>
      <c r="P590" s="788">
        <f t="shared" si="47"/>
        <v>0</v>
      </c>
    </row>
    <row r="591" spans="3:16">
      <c r="C591" s="784">
        <f>IF(D529="","-",+C590+1)</f>
        <v>2072</v>
      </c>
      <c r="D591" s="732">
        <f t="shared" si="52"/>
        <v>0</v>
      </c>
      <c r="E591" s="785">
        <f t="shared" si="50"/>
        <v>0</v>
      </c>
      <c r="F591" s="785">
        <f t="shared" si="44"/>
        <v>0</v>
      </c>
      <c r="G591" s="732">
        <f t="shared" si="49"/>
        <v>0</v>
      </c>
      <c r="H591" s="790">
        <f>+J530*G591+E591</f>
        <v>0</v>
      </c>
      <c r="I591" s="791">
        <f>+J531*G591+E591</f>
        <v>0</v>
      </c>
      <c r="J591" s="788">
        <f t="shared" si="51"/>
        <v>0</v>
      </c>
      <c r="K591" s="788"/>
      <c r="L591" s="1310"/>
      <c r="M591" s="788">
        <f t="shared" si="45"/>
        <v>0</v>
      </c>
      <c r="N591" s="1310"/>
      <c r="O591" s="788">
        <f t="shared" si="46"/>
        <v>0</v>
      </c>
      <c r="P591" s="788">
        <f t="shared" si="47"/>
        <v>0</v>
      </c>
    </row>
    <row r="592" spans="3:16">
      <c r="C592" s="784">
        <f>IF(D529="","-",+C591+1)</f>
        <v>2073</v>
      </c>
      <c r="D592" s="732">
        <f t="shared" si="52"/>
        <v>0</v>
      </c>
      <c r="E592" s="785">
        <f t="shared" si="50"/>
        <v>0</v>
      </c>
      <c r="F592" s="785">
        <f t="shared" si="44"/>
        <v>0</v>
      </c>
      <c r="G592" s="732">
        <f t="shared" si="49"/>
        <v>0</v>
      </c>
      <c r="H592" s="790">
        <f>+J530*G592+E592</f>
        <v>0</v>
      </c>
      <c r="I592" s="791">
        <f>+J531*G592+E592</f>
        <v>0</v>
      </c>
      <c r="J592" s="788">
        <f t="shared" si="51"/>
        <v>0</v>
      </c>
      <c r="K592" s="788"/>
      <c r="L592" s="1310"/>
      <c r="M592" s="788">
        <f t="shared" si="45"/>
        <v>0</v>
      </c>
      <c r="N592" s="1310"/>
      <c r="O592" s="788">
        <f t="shared" si="46"/>
        <v>0</v>
      </c>
      <c r="P592" s="788">
        <f t="shared" si="47"/>
        <v>0</v>
      </c>
    </row>
    <row r="593" spans="1:17">
      <c r="C593" s="784">
        <f>IF(D529="","-",+C592+1)</f>
        <v>2074</v>
      </c>
      <c r="D593" s="732">
        <f t="shared" si="52"/>
        <v>0</v>
      </c>
      <c r="E593" s="785">
        <f t="shared" si="50"/>
        <v>0</v>
      </c>
      <c r="F593" s="785">
        <f t="shared" si="44"/>
        <v>0</v>
      </c>
      <c r="G593" s="732">
        <f t="shared" si="49"/>
        <v>0</v>
      </c>
      <c r="H593" s="790">
        <f>+J530*G593+E593</f>
        <v>0</v>
      </c>
      <c r="I593" s="791">
        <f>+J531*G593+E593</f>
        <v>0</v>
      </c>
      <c r="J593" s="788">
        <f t="shared" si="51"/>
        <v>0</v>
      </c>
      <c r="K593" s="788"/>
      <c r="L593" s="1310"/>
      <c r="M593" s="788">
        <f t="shared" si="45"/>
        <v>0</v>
      </c>
      <c r="N593" s="1310"/>
      <c r="O593" s="788">
        <f t="shared" si="46"/>
        <v>0</v>
      </c>
      <c r="P593" s="788">
        <f t="shared" si="47"/>
        <v>0</v>
      </c>
    </row>
    <row r="594" spans="1:17" ht="13.5" thickBot="1">
      <c r="C594" s="794">
        <f>IF(D529="","-",+C593+1)</f>
        <v>2075</v>
      </c>
      <c r="D594" s="795">
        <f t="shared" si="52"/>
        <v>0</v>
      </c>
      <c r="E594" s="796">
        <f t="shared" si="50"/>
        <v>0</v>
      </c>
      <c r="F594" s="796">
        <f t="shared" si="44"/>
        <v>0</v>
      </c>
      <c r="G594" s="795">
        <f t="shared" si="49"/>
        <v>0</v>
      </c>
      <c r="H594" s="797">
        <f>+J530*G594+E594</f>
        <v>0</v>
      </c>
      <c r="I594" s="797">
        <f>+J531*G594+E594</f>
        <v>0</v>
      </c>
      <c r="J594" s="798">
        <f t="shared" si="51"/>
        <v>0</v>
      </c>
      <c r="K594" s="788"/>
      <c r="L594" s="1311"/>
      <c r="M594" s="798">
        <f t="shared" si="45"/>
        <v>0</v>
      </c>
      <c r="N594" s="1311"/>
      <c r="O594" s="798">
        <f t="shared" si="46"/>
        <v>0</v>
      </c>
      <c r="P594" s="798">
        <f t="shared" si="47"/>
        <v>0</v>
      </c>
    </row>
    <row r="595" spans="1:17">
      <c r="C595" s="732" t="s">
        <v>93</v>
      </c>
      <c r="D595" s="726"/>
      <c r="E595" s="726">
        <f>SUM(E535:E594)</f>
        <v>52217631.810000002</v>
      </c>
      <c r="F595" s="726"/>
      <c r="G595" s="726"/>
      <c r="H595" s="726">
        <f>SUM(H535:H594)</f>
        <v>176016669.65728128</v>
      </c>
      <c r="I595" s="726">
        <f>SUM(I535:I594)</f>
        <v>176016669.65728128</v>
      </c>
      <c r="J595" s="726">
        <f>SUM(J535:J594)</f>
        <v>0</v>
      </c>
      <c r="K595" s="726"/>
      <c r="L595" s="726"/>
      <c r="M595" s="726"/>
      <c r="N595" s="726"/>
      <c r="O595" s="726"/>
    </row>
    <row r="596" spans="1:17">
      <c r="D596" s="534"/>
      <c r="E596" s="313"/>
      <c r="F596" s="313"/>
      <c r="G596" s="313"/>
      <c r="H596" s="313"/>
      <c r="I596" s="704"/>
      <c r="J596" s="704"/>
      <c r="K596" s="726"/>
      <c r="L596" s="704"/>
      <c r="M596" s="704"/>
      <c r="N596" s="704"/>
      <c r="O596" s="704"/>
    </row>
    <row r="597" spans="1:17">
      <c r="C597" s="313" t="s">
        <v>15</v>
      </c>
      <c r="D597" s="534"/>
      <c r="E597" s="313"/>
      <c r="F597" s="313"/>
      <c r="G597" s="313"/>
      <c r="H597" s="313"/>
      <c r="I597" s="704"/>
      <c r="J597" s="704"/>
      <c r="K597" s="726"/>
      <c r="L597" s="704"/>
      <c r="M597" s="704"/>
      <c r="N597" s="704"/>
      <c r="O597" s="704"/>
    </row>
    <row r="598" spans="1:17">
      <c r="C598" s="313"/>
      <c r="D598" s="534"/>
      <c r="E598" s="313"/>
      <c r="F598" s="313"/>
      <c r="G598" s="313"/>
      <c r="H598" s="313"/>
      <c r="I598" s="704"/>
      <c r="J598" s="704"/>
      <c r="K598" s="726"/>
      <c r="L598" s="704"/>
      <c r="M598" s="704"/>
      <c r="N598" s="704"/>
      <c r="O598" s="704"/>
    </row>
    <row r="599" spans="1:17">
      <c r="C599" s="745" t="s">
        <v>16</v>
      </c>
      <c r="D599" s="732"/>
      <c r="E599" s="732"/>
      <c r="F599" s="732"/>
      <c r="G599" s="732"/>
      <c r="H599" s="726"/>
      <c r="I599" s="726"/>
      <c r="J599" s="800"/>
      <c r="K599" s="800"/>
      <c r="L599" s="800"/>
      <c r="M599" s="800"/>
      <c r="N599" s="800"/>
      <c r="O599" s="800"/>
    </row>
    <row r="600" spans="1:17">
      <c r="C600" s="731" t="s">
        <v>273</v>
      </c>
      <c r="D600" s="732"/>
      <c r="E600" s="732"/>
      <c r="F600" s="732"/>
      <c r="G600" s="732"/>
      <c r="H600" s="726"/>
      <c r="I600" s="726"/>
      <c r="J600" s="800"/>
      <c r="K600" s="800"/>
      <c r="L600" s="800"/>
      <c r="M600" s="800"/>
      <c r="N600" s="800"/>
      <c r="O600" s="800"/>
    </row>
    <row r="601" spans="1:17">
      <c r="C601" s="731" t="s">
        <v>94</v>
      </c>
      <c r="D601" s="732"/>
      <c r="E601" s="732"/>
      <c r="F601" s="732"/>
      <c r="G601" s="732"/>
      <c r="H601" s="726"/>
      <c r="I601" s="726"/>
      <c r="J601" s="800"/>
      <c r="K601" s="800"/>
      <c r="L601" s="800"/>
      <c r="M601" s="800"/>
      <c r="N601" s="800"/>
      <c r="O601" s="800"/>
    </row>
    <row r="602" spans="1:17">
      <c r="C602" s="731"/>
      <c r="D602" s="732"/>
      <c r="E602" s="732"/>
      <c r="F602" s="732"/>
      <c r="G602" s="732"/>
      <c r="H602" s="726"/>
      <c r="I602" s="726"/>
      <c r="J602" s="800"/>
      <c r="K602" s="800"/>
      <c r="L602" s="800"/>
      <c r="M602" s="800"/>
      <c r="N602" s="800"/>
      <c r="O602" s="800"/>
    </row>
    <row r="603" spans="1:17" ht="20.25">
      <c r="A603" s="733" t="str">
        <f>""&amp;A524&amp;" Worksheet K -  ATRR TRUE-UP Calculation for PJM Projects Charged to Benefiting Zones"</f>
        <v xml:space="preserve"> Worksheet K -  ATRR TRUE-UP Calculation for PJM Projects Charged to Benefiting Zones</v>
      </c>
      <c r="B603" s="346"/>
      <c r="C603" s="721"/>
      <c r="D603" s="534"/>
      <c r="E603" s="313"/>
      <c r="F603" s="703"/>
      <c r="G603" s="703"/>
      <c r="H603" s="313"/>
      <c r="I603" s="704"/>
      <c r="L603" s="560"/>
      <c r="M603" s="560"/>
      <c r="N603" s="560"/>
      <c r="O603" s="649" t="str">
        <f>"Page "&amp;SUM(Q$8:Q603)&amp;" of "</f>
        <v xml:space="preserve">Page 7 of </v>
      </c>
      <c r="P603" s="650">
        <f>COUNT(Q$8:Q$56657)</f>
        <v>10</v>
      </c>
      <c r="Q603" s="173">
        <v>1</v>
      </c>
    </row>
    <row r="604" spans="1:17">
      <c r="B604" s="346"/>
      <c r="C604" s="313"/>
      <c r="D604" s="534"/>
      <c r="E604" s="313"/>
      <c r="F604" s="313"/>
      <c r="G604" s="313"/>
      <c r="H604" s="313"/>
      <c r="I604" s="704"/>
      <c r="J604" s="313"/>
      <c r="K604" s="423"/>
    </row>
    <row r="605" spans="1:17" ht="18">
      <c r="B605" s="653" t="s">
        <v>474</v>
      </c>
      <c r="C605" s="735" t="s">
        <v>95</v>
      </c>
      <c r="D605" s="534"/>
      <c r="E605" s="313"/>
      <c r="F605" s="313"/>
      <c r="G605" s="313"/>
      <c r="H605" s="313"/>
      <c r="I605" s="704"/>
      <c r="J605" s="704"/>
      <c r="K605" s="726"/>
      <c r="L605" s="704"/>
      <c r="M605" s="704"/>
      <c r="N605" s="704"/>
      <c r="O605" s="704"/>
    </row>
    <row r="606" spans="1:17" ht="18.75">
      <c r="B606" s="653"/>
      <c r="C606" s="652"/>
      <c r="D606" s="534"/>
      <c r="E606" s="313"/>
      <c r="F606" s="313"/>
      <c r="G606" s="313"/>
      <c r="H606" s="313"/>
      <c r="I606" s="704"/>
      <c r="J606" s="704"/>
      <c r="K606" s="726"/>
      <c r="L606" s="704"/>
      <c r="M606" s="704"/>
      <c r="N606" s="704"/>
      <c r="O606" s="704"/>
    </row>
    <row r="607" spans="1:17" ht="18.75">
      <c r="B607" s="653"/>
      <c r="C607" s="652" t="s">
        <v>96</v>
      </c>
      <c r="D607" s="534"/>
      <c r="E607" s="313"/>
      <c r="F607" s="313"/>
      <c r="G607" s="313"/>
      <c r="H607" s="313"/>
      <c r="I607" s="704"/>
      <c r="J607" s="704"/>
      <c r="K607" s="726"/>
      <c r="L607" s="704"/>
      <c r="M607" s="704"/>
      <c r="N607" s="704"/>
      <c r="O607" s="704"/>
    </row>
    <row r="608" spans="1:17" ht="15.75" thickBot="1">
      <c r="C608" s="240"/>
      <c r="D608" s="534"/>
      <c r="E608" s="313"/>
      <c r="F608" s="313"/>
      <c r="G608" s="313"/>
      <c r="H608" s="313"/>
      <c r="I608" s="704"/>
      <c r="J608" s="704"/>
      <c r="K608" s="726"/>
      <c r="L608" s="704"/>
      <c r="M608" s="704"/>
      <c r="N608" s="704"/>
      <c r="O608" s="704"/>
    </row>
    <row r="609" spans="1:16" ht="15.75">
      <c r="C609" s="655" t="s">
        <v>97</v>
      </c>
      <c r="D609" s="534"/>
      <c r="E609" s="313"/>
      <c r="F609" s="313"/>
      <c r="G609" s="313"/>
      <c r="H609" s="802"/>
      <c r="I609" s="313" t="s">
        <v>76</v>
      </c>
      <c r="J609" s="313"/>
      <c r="K609" s="423"/>
      <c r="L609" s="831">
        <f>+J615</f>
        <v>2021</v>
      </c>
      <c r="M609" s="812" t="s">
        <v>54</v>
      </c>
      <c r="N609" s="812" t="s">
        <v>55</v>
      </c>
      <c r="O609" s="813" t="s">
        <v>57</v>
      </c>
    </row>
    <row r="610" spans="1:16" ht="15.75">
      <c r="C610" s="655"/>
      <c r="D610" s="534"/>
      <c r="E610" s="313"/>
      <c r="F610" s="313"/>
      <c r="H610" s="313"/>
      <c r="I610" s="740"/>
      <c r="J610" s="740"/>
      <c r="K610" s="741"/>
      <c r="L610" s="832" t="s">
        <v>245</v>
      </c>
      <c r="M610" s="833">
        <f>VLOOKUP(J615,C622:P681,10)</f>
        <v>6107452.5872625131</v>
      </c>
      <c r="N610" s="833">
        <f>VLOOKUP(J615,C622:P681,12)</f>
        <v>6107452.5872625131</v>
      </c>
      <c r="O610" s="834">
        <f>+N610-M610</f>
        <v>0</v>
      </c>
    </row>
    <row r="611" spans="1:16" ht="12.95" customHeight="1">
      <c r="C611" s="745" t="s">
        <v>98</v>
      </c>
      <c r="D611" s="1557" t="s">
        <v>823</v>
      </c>
      <c r="E611" s="1557"/>
      <c r="F611" s="1557"/>
      <c r="G611" s="1557"/>
      <c r="H611" s="1557"/>
      <c r="I611" s="1557"/>
      <c r="J611" s="704"/>
      <c r="K611" s="726"/>
      <c r="L611" s="832" t="s">
        <v>246</v>
      </c>
      <c r="M611" s="835">
        <f>VLOOKUP(J615,C622:P681,6)</f>
        <v>6415599.5107252486</v>
      </c>
      <c r="N611" s="835">
        <f>VLOOKUP(J615,C622:P681,7)</f>
        <v>6415599.5107252486</v>
      </c>
      <c r="O611" s="836">
        <f>+N611-M611</f>
        <v>0</v>
      </c>
    </row>
    <row r="612" spans="1:16" ht="13.5" thickBot="1">
      <c r="C612" s="749"/>
      <c r="D612" s="1557"/>
      <c r="E612" s="1557"/>
      <c r="F612" s="1557"/>
      <c r="G612" s="1557"/>
      <c r="H612" s="1557"/>
      <c r="I612" s="1557"/>
      <c r="J612" s="704"/>
      <c r="K612" s="726"/>
      <c r="L612" s="768" t="s">
        <v>247</v>
      </c>
      <c r="M612" s="837">
        <f>+M611-M610</f>
        <v>308146.92346273549</v>
      </c>
      <c r="N612" s="837">
        <f>+N611-N610</f>
        <v>308146.92346273549</v>
      </c>
      <c r="O612" s="838">
        <f>+O611-O610</f>
        <v>0</v>
      </c>
    </row>
    <row r="613" spans="1:16" ht="13.5" thickBot="1">
      <c r="C613" s="752"/>
      <c r="D613" s="753"/>
      <c r="E613" s="751"/>
      <c r="F613" s="751"/>
      <c r="G613" s="751"/>
      <c r="H613" s="751"/>
      <c r="I613" s="751"/>
      <c r="J613" s="751"/>
      <c r="K613" s="754"/>
      <c r="L613" s="751"/>
      <c r="M613" s="751"/>
      <c r="N613" s="751"/>
      <c r="O613" s="751"/>
      <c r="P613" s="346"/>
    </row>
    <row r="614" spans="1:16" ht="13.5" thickBot="1">
      <c r="C614" s="755" t="s">
        <v>99</v>
      </c>
      <c r="D614" s="756"/>
      <c r="E614" s="756"/>
      <c r="F614" s="756"/>
      <c r="G614" s="756"/>
      <c r="H614" s="756"/>
      <c r="I614" s="756"/>
      <c r="J614" s="756"/>
      <c r="K614" s="758"/>
      <c r="P614" s="759"/>
    </row>
    <row r="615" spans="1:16" ht="15">
      <c r="A615" s="1340"/>
      <c r="C615" s="760" t="s">
        <v>77</v>
      </c>
      <c r="D615" s="804">
        <v>50142658.399999999</v>
      </c>
      <c r="E615" s="721" t="s">
        <v>78</v>
      </c>
      <c r="H615" s="761"/>
      <c r="I615" s="761"/>
      <c r="J615" s="762">
        <f>$J$93</f>
        <v>2021</v>
      </c>
      <c r="K615" s="550"/>
      <c r="L615" s="1558" t="s">
        <v>79</v>
      </c>
      <c r="M615" s="1558"/>
      <c r="N615" s="1558"/>
      <c r="O615" s="1558"/>
      <c r="P615" s="423"/>
    </row>
    <row r="616" spans="1:16">
      <c r="C616" s="760" t="s">
        <v>80</v>
      </c>
      <c r="D616" s="1307">
        <v>2016</v>
      </c>
      <c r="E616" s="760" t="s">
        <v>81</v>
      </c>
      <c r="F616" s="761"/>
      <c r="G616" s="761"/>
      <c r="I616" s="173"/>
      <c r="J616" s="806">
        <f>IF(H609="",0,$F$17)</f>
        <v>0</v>
      </c>
      <c r="K616" s="763"/>
      <c r="L616" s="726" t="s">
        <v>287</v>
      </c>
      <c r="P616" s="423"/>
    </row>
    <row r="617" spans="1:16">
      <c r="C617" s="760" t="s">
        <v>82</v>
      </c>
      <c r="D617" s="804">
        <v>12</v>
      </c>
      <c r="E617" s="760" t="s">
        <v>83</v>
      </c>
      <c r="F617" s="761"/>
      <c r="G617" s="761"/>
      <c r="I617" s="173"/>
      <c r="J617" s="764">
        <f>$F$70</f>
        <v>0.11565015966136639</v>
      </c>
      <c r="K617" s="765"/>
      <c r="L617" s="313" t="str">
        <f>"          INPUT TRUE-UP ARR (WITH &amp; WITHOUT INCENTIVES) FROM EACH PRIOR YEAR"</f>
        <v xml:space="preserve">          INPUT TRUE-UP ARR (WITH &amp; WITHOUT INCENTIVES) FROM EACH PRIOR YEAR</v>
      </c>
      <c r="P617" s="423"/>
    </row>
    <row r="618" spans="1:16">
      <c r="C618" s="760" t="s">
        <v>84</v>
      </c>
      <c r="D618" s="766">
        <f>H$79</f>
        <v>39</v>
      </c>
      <c r="E618" s="760" t="s">
        <v>85</v>
      </c>
      <c r="F618" s="761"/>
      <c r="G618" s="761"/>
      <c r="I618" s="173"/>
      <c r="J618" s="764">
        <f>IF(H609="",+J617,$F$69)</f>
        <v>0.11565015966136639</v>
      </c>
      <c r="K618" s="767"/>
      <c r="L618" s="313" t="s">
        <v>167</v>
      </c>
      <c r="M618" s="767"/>
      <c r="N618" s="767"/>
      <c r="O618" s="767"/>
      <c r="P618" s="423"/>
    </row>
    <row r="619" spans="1:16" ht="13.5" thickBot="1">
      <c r="C619" s="760" t="s">
        <v>86</v>
      </c>
      <c r="D619" s="1331" t="s">
        <v>814</v>
      </c>
      <c r="E619" s="768" t="s">
        <v>87</v>
      </c>
      <c r="F619" s="769"/>
      <c r="G619" s="769"/>
      <c r="H619" s="770"/>
      <c r="I619" s="770"/>
      <c r="J619" s="748">
        <f>IF(D615=0,0,D615/D618)</f>
        <v>1285709.1897435896</v>
      </c>
      <c r="K619" s="726"/>
      <c r="L619" s="726" t="s">
        <v>168</v>
      </c>
      <c r="M619" s="726"/>
      <c r="N619" s="726"/>
      <c r="O619" s="726"/>
      <c r="P619" s="423"/>
    </row>
    <row r="620" spans="1:16" ht="38.25">
      <c r="B620" s="841"/>
      <c r="C620" s="771" t="s">
        <v>77</v>
      </c>
      <c r="D620" s="772" t="s">
        <v>88</v>
      </c>
      <c r="E620" s="773" t="s">
        <v>89</v>
      </c>
      <c r="F620" s="772" t="s">
        <v>90</v>
      </c>
      <c r="G620" s="772" t="s">
        <v>248</v>
      </c>
      <c r="H620" s="773" t="s">
        <v>161</v>
      </c>
      <c r="I620" s="774" t="s">
        <v>161</v>
      </c>
      <c r="J620" s="771" t="s">
        <v>100</v>
      </c>
      <c r="K620" s="775"/>
      <c r="L620" s="773" t="s">
        <v>163</v>
      </c>
      <c r="M620" s="773" t="s">
        <v>169</v>
      </c>
      <c r="N620" s="773" t="s">
        <v>163</v>
      </c>
      <c r="O620" s="773" t="s">
        <v>171</v>
      </c>
      <c r="P620" s="773" t="s">
        <v>91</v>
      </c>
    </row>
    <row r="621" spans="1:16" ht="13.5" thickBot="1">
      <c r="C621" s="777" t="s">
        <v>477</v>
      </c>
      <c r="D621" s="778" t="s">
        <v>478</v>
      </c>
      <c r="E621" s="777" t="s">
        <v>371</v>
      </c>
      <c r="F621" s="778" t="s">
        <v>478</v>
      </c>
      <c r="G621" s="778" t="s">
        <v>478</v>
      </c>
      <c r="H621" s="779" t="s">
        <v>103</v>
      </c>
      <c r="I621" s="780" t="s">
        <v>105</v>
      </c>
      <c r="J621" s="781" t="s">
        <v>17</v>
      </c>
      <c r="K621" s="782"/>
      <c r="L621" s="779" t="s">
        <v>92</v>
      </c>
      <c r="M621" s="779" t="s">
        <v>92</v>
      </c>
      <c r="N621" s="779" t="s">
        <v>265</v>
      </c>
      <c r="O621" s="779" t="s">
        <v>265</v>
      </c>
      <c r="P621" s="779" t="s">
        <v>265</v>
      </c>
    </row>
    <row r="622" spans="1:16">
      <c r="C622" s="784">
        <f>IF(D616= "","-",D616)</f>
        <v>2016</v>
      </c>
      <c r="D622" s="732">
        <f>+D615</f>
        <v>50142658.399999999</v>
      </c>
      <c r="E622" s="790">
        <f>+J619/12*(12-D617)</f>
        <v>0</v>
      </c>
      <c r="F622" s="839">
        <f t="shared" ref="F622:F681" si="53">+D622-E622</f>
        <v>50142658.399999999</v>
      </c>
      <c r="G622" s="732">
        <f>+(D622+F622)/2</f>
        <v>50142658.399999999</v>
      </c>
      <c r="H622" s="786">
        <f>+J617*G622+E622</f>
        <v>5799006.4498053547</v>
      </c>
      <c r="I622" s="787">
        <f>+J618*G622+E622</f>
        <v>5799006.4498053547</v>
      </c>
      <c r="J622" s="788">
        <f>+I622-H622</f>
        <v>0</v>
      </c>
      <c r="K622" s="788"/>
      <c r="L622" s="1309">
        <v>4514116</v>
      </c>
      <c r="M622" s="840">
        <f t="shared" ref="M622:M681" si="54">IF(L622&lt;&gt;0,+H622-L622,0)</f>
        <v>1284890.4498053547</v>
      </c>
      <c r="N622" s="1309">
        <v>4514116</v>
      </c>
      <c r="O622" s="840">
        <f t="shared" ref="O622:O681" si="55">IF(N622&lt;&gt;0,+I622-N622,0)</f>
        <v>1284890.4498053547</v>
      </c>
      <c r="P622" s="840">
        <f t="shared" ref="P622:P681" si="56">+O622-M622</f>
        <v>0</v>
      </c>
    </row>
    <row r="623" spans="1:16">
      <c r="C623" s="784">
        <f>IF(D616="","-",+C622+1)</f>
        <v>2017</v>
      </c>
      <c r="D623" s="732">
        <f t="shared" ref="D623:D675" si="57">F622</f>
        <v>50142658.399999999</v>
      </c>
      <c r="E623" s="785">
        <f>IF(D623&gt;$J$619,$J$619,D623)</f>
        <v>1285709.1897435896</v>
      </c>
      <c r="F623" s="785">
        <f t="shared" si="53"/>
        <v>48856949.210256413</v>
      </c>
      <c r="G623" s="732">
        <f t="shared" ref="G623:G681" si="58">+(D623+F623)/2</f>
        <v>49499803.805128202</v>
      </c>
      <c r="H623" s="790">
        <f>+J617*G623+E623</f>
        <v>7010369.4030129779</v>
      </c>
      <c r="I623" s="791">
        <f>+J618*G623+E623</f>
        <v>7010369.4030129779</v>
      </c>
      <c r="J623" s="788">
        <f>+I623-H623</f>
        <v>0</v>
      </c>
      <c r="K623" s="788"/>
      <c r="L623" s="1310">
        <v>7261914</v>
      </c>
      <c r="M623" s="788">
        <f t="shared" si="54"/>
        <v>-251544.59698702209</v>
      </c>
      <c r="N623" s="1310">
        <v>7261914</v>
      </c>
      <c r="O623" s="788">
        <f t="shared" si="55"/>
        <v>-251544.59698702209</v>
      </c>
      <c r="P623" s="788">
        <f t="shared" si="56"/>
        <v>0</v>
      </c>
    </row>
    <row r="624" spans="1:16">
      <c r="C624" s="784">
        <f>IF(D616="","-",+C623+1)</f>
        <v>2018</v>
      </c>
      <c r="D624" s="1402">
        <f t="shared" si="57"/>
        <v>48856949.210256413</v>
      </c>
      <c r="E624" s="785">
        <f t="shared" ref="E624:E681" si="59">IF(D624&gt;$J$619,$J$619,D624)</f>
        <v>1285709.1897435896</v>
      </c>
      <c r="F624" s="785">
        <f t="shared" si="53"/>
        <v>47571240.020512819</v>
      </c>
      <c r="G624" s="732">
        <f t="shared" si="58"/>
        <v>48214094.615384616</v>
      </c>
      <c r="H624" s="790">
        <f>+J617*G624+E624</f>
        <v>6861676.9299410461</v>
      </c>
      <c r="I624" s="791">
        <f>+J618*G624+E624</f>
        <v>6861676.9299410461</v>
      </c>
      <c r="J624" s="788">
        <f t="shared" ref="J624:J681" si="60">+I624-H624</f>
        <v>0</v>
      </c>
      <c r="K624" s="788"/>
      <c r="L624" s="1310">
        <v>5720037</v>
      </c>
      <c r="M624" s="788">
        <f t="shared" si="54"/>
        <v>1141639.9299410461</v>
      </c>
      <c r="N624" s="1310">
        <v>5720037</v>
      </c>
      <c r="O624" s="788">
        <f t="shared" si="55"/>
        <v>1141639.9299410461</v>
      </c>
      <c r="P624" s="788">
        <f t="shared" si="56"/>
        <v>0</v>
      </c>
    </row>
    <row r="625" spans="3:16">
      <c r="C625" s="784">
        <f>IF(D616="","-",+C624+1)</f>
        <v>2019</v>
      </c>
      <c r="D625" s="732">
        <f t="shared" si="57"/>
        <v>47571240.020512819</v>
      </c>
      <c r="E625" s="785">
        <f t="shared" si="59"/>
        <v>1285709.1897435896</v>
      </c>
      <c r="F625" s="785">
        <f t="shared" si="53"/>
        <v>46285530.830769226</v>
      </c>
      <c r="G625" s="732">
        <f t="shared" si="58"/>
        <v>46928385.425641023</v>
      </c>
      <c r="H625" s="790">
        <f>+J617*G625+E625</f>
        <v>6712984.4568691133</v>
      </c>
      <c r="I625" s="791">
        <f>+J618*G625+E625</f>
        <v>6712984.4568691133</v>
      </c>
      <c r="J625" s="788">
        <f t="shared" si="60"/>
        <v>0</v>
      </c>
      <c r="K625" s="788"/>
      <c r="L625" s="1310">
        <v>6058461</v>
      </c>
      <c r="M625" s="788">
        <f t="shared" si="54"/>
        <v>654523.45686911326</v>
      </c>
      <c r="N625" s="1310">
        <v>6058461</v>
      </c>
      <c r="O625" s="788">
        <f t="shared" si="55"/>
        <v>654523.45686911326</v>
      </c>
      <c r="P625" s="788">
        <f t="shared" si="56"/>
        <v>0</v>
      </c>
    </row>
    <row r="626" spans="3:16">
      <c r="C626" s="784">
        <f>IF(D616="","-",+C625+1)</f>
        <v>2020</v>
      </c>
      <c r="D626" s="1332">
        <f t="shared" si="57"/>
        <v>46285530.830769226</v>
      </c>
      <c r="E626" s="785">
        <f t="shared" si="59"/>
        <v>1285709.1897435896</v>
      </c>
      <c r="F626" s="785">
        <f t="shared" si="53"/>
        <v>44999821.641025633</v>
      </c>
      <c r="G626" s="732">
        <f t="shared" si="58"/>
        <v>45642676.235897429</v>
      </c>
      <c r="H626" s="790">
        <f>+J617*G626+E626</f>
        <v>6564291.9837971814</v>
      </c>
      <c r="I626" s="791">
        <f>+J618*G626+E626</f>
        <v>6564291.9837971814</v>
      </c>
      <c r="J626" s="788">
        <f t="shared" si="60"/>
        <v>0</v>
      </c>
      <c r="K626" s="788"/>
      <c r="L626" s="1310">
        <v>6143739.6200183444</v>
      </c>
      <c r="M626" s="788">
        <f t="shared" si="54"/>
        <v>420552.36377883703</v>
      </c>
      <c r="N626" s="1310">
        <v>6143739.6200183444</v>
      </c>
      <c r="O626" s="788">
        <f t="shared" si="55"/>
        <v>420552.36377883703</v>
      </c>
      <c r="P626" s="788">
        <f t="shared" si="56"/>
        <v>0</v>
      </c>
    </row>
    <row r="627" spans="3:16">
      <c r="C627" s="784">
        <f>IF(D616="","-",+C626+1)</f>
        <v>2021</v>
      </c>
      <c r="D627" s="1332">
        <f t="shared" si="57"/>
        <v>44999821.641025633</v>
      </c>
      <c r="E627" s="785">
        <f t="shared" si="59"/>
        <v>1285709.1897435896</v>
      </c>
      <c r="F627" s="785">
        <f t="shared" si="53"/>
        <v>43714112.451282039</v>
      </c>
      <c r="G627" s="732">
        <f t="shared" si="58"/>
        <v>44356967.046153836</v>
      </c>
      <c r="H627" s="790">
        <f>+J617*G627+E627</f>
        <v>6415599.5107252486</v>
      </c>
      <c r="I627" s="791">
        <f>+J618*G627+E627</f>
        <v>6415599.5107252486</v>
      </c>
      <c r="J627" s="788">
        <f t="shared" si="60"/>
        <v>0</v>
      </c>
      <c r="K627" s="788"/>
      <c r="L627" s="1310">
        <v>6107452.5872625131</v>
      </c>
      <c r="M627" s="788">
        <f t="shared" si="54"/>
        <v>308146.92346273549</v>
      </c>
      <c r="N627" s="1310">
        <v>6107452.5872625131</v>
      </c>
      <c r="O627" s="788">
        <f t="shared" si="55"/>
        <v>308146.92346273549</v>
      </c>
      <c r="P627" s="788">
        <f t="shared" si="56"/>
        <v>0</v>
      </c>
    </row>
    <row r="628" spans="3:16">
      <c r="C628" s="784">
        <f>IF(D616="","-",+C627+1)</f>
        <v>2022</v>
      </c>
      <c r="D628" s="1332">
        <f t="shared" si="57"/>
        <v>43714112.451282039</v>
      </c>
      <c r="E628" s="785">
        <f t="shared" si="59"/>
        <v>1285709.1897435896</v>
      </c>
      <c r="F628" s="785">
        <f t="shared" si="53"/>
        <v>42428403.261538446</v>
      </c>
      <c r="G628" s="732">
        <f t="shared" si="58"/>
        <v>43071257.856410243</v>
      </c>
      <c r="H628" s="790">
        <f>+J617*G628+E628</f>
        <v>6266907.0376533158</v>
      </c>
      <c r="I628" s="791">
        <f>+J618*G628+E628</f>
        <v>6266907.0376533158</v>
      </c>
      <c r="J628" s="788">
        <f t="shared" si="60"/>
        <v>0</v>
      </c>
      <c r="K628" s="788"/>
      <c r="L628" s="1310">
        <v>0</v>
      </c>
      <c r="M628" s="788">
        <f t="shared" si="54"/>
        <v>0</v>
      </c>
      <c r="N628" s="1310">
        <v>0</v>
      </c>
      <c r="O628" s="788">
        <f t="shared" si="55"/>
        <v>0</v>
      </c>
      <c r="P628" s="788">
        <f t="shared" si="56"/>
        <v>0</v>
      </c>
    </row>
    <row r="629" spans="3:16">
      <c r="C629" s="784">
        <f>IF(D616="","-",+C628+1)</f>
        <v>2023</v>
      </c>
      <c r="D629" s="732">
        <f t="shared" si="57"/>
        <v>42428403.261538446</v>
      </c>
      <c r="E629" s="785">
        <f t="shared" si="59"/>
        <v>1285709.1897435896</v>
      </c>
      <c r="F629" s="785">
        <f t="shared" si="53"/>
        <v>41142694.071794853</v>
      </c>
      <c r="G629" s="732">
        <f t="shared" si="58"/>
        <v>41785548.666666649</v>
      </c>
      <c r="H629" s="790">
        <f>+J617*G629+E629</f>
        <v>6118214.564581383</v>
      </c>
      <c r="I629" s="791">
        <f>+J618*G629+E629</f>
        <v>6118214.564581383</v>
      </c>
      <c r="J629" s="788">
        <f t="shared" si="60"/>
        <v>0</v>
      </c>
      <c r="K629" s="788"/>
      <c r="L629" s="1310"/>
      <c r="M629" s="788">
        <f t="shared" si="54"/>
        <v>0</v>
      </c>
      <c r="N629" s="1310"/>
      <c r="O629" s="788">
        <f t="shared" si="55"/>
        <v>0</v>
      </c>
      <c r="P629" s="788">
        <f t="shared" si="56"/>
        <v>0</v>
      </c>
    </row>
    <row r="630" spans="3:16">
      <c r="C630" s="784">
        <f>IF(D616="","-",+C629+1)</f>
        <v>2024</v>
      </c>
      <c r="D630" s="732">
        <f t="shared" si="57"/>
        <v>41142694.071794853</v>
      </c>
      <c r="E630" s="785">
        <f t="shared" si="59"/>
        <v>1285709.1897435896</v>
      </c>
      <c r="F630" s="785">
        <f t="shared" si="53"/>
        <v>39856984.882051259</v>
      </c>
      <c r="G630" s="732">
        <f t="shared" si="58"/>
        <v>40499839.476923056</v>
      </c>
      <c r="H630" s="790">
        <f>+J617*G630+E630</f>
        <v>5969522.0915094502</v>
      </c>
      <c r="I630" s="791">
        <f>+J618*G630+E630</f>
        <v>5969522.0915094502</v>
      </c>
      <c r="J630" s="788">
        <f t="shared" si="60"/>
        <v>0</v>
      </c>
      <c r="K630" s="788"/>
      <c r="L630" s="1310"/>
      <c r="M630" s="788">
        <f t="shared" si="54"/>
        <v>0</v>
      </c>
      <c r="N630" s="1310"/>
      <c r="O630" s="788">
        <f t="shared" si="55"/>
        <v>0</v>
      </c>
      <c r="P630" s="788">
        <f t="shared" si="56"/>
        <v>0</v>
      </c>
    </row>
    <row r="631" spans="3:16">
      <c r="C631" s="784">
        <f>IF(D616="","-",+C630+1)</f>
        <v>2025</v>
      </c>
      <c r="D631" s="732">
        <f t="shared" si="57"/>
        <v>39856984.882051259</v>
      </c>
      <c r="E631" s="785">
        <f t="shared" si="59"/>
        <v>1285709.1897435896</v>
      </c>
      <c r="F631" s="785">
        <f t="shared" si="53"/>
        <v>38571275.692307666</v>
      </c>
      <c r="G631" s="732">
        <f t="shared" si="58"/>
        <v>39214130.287179463</v>
      </c>
      <c r="H631" s="790">
        <f>+J617*G631+E631</f>
        <v>5820829.6184375184</v>
      </c>
      <c r="I631" s="791">
        <f>+J618*G631+E631</f>
        <v>5820829.6184375184</v>
      </c>
      <c r="J631" s="788">
        <f t="shared" si="60"/>
        <v>0</v>
      </c>
      <c r="K631" s="788"/>
      <c r="L631" s="1310"/>
      <c r="M631" s="788">
        <f t="shared" si="54"/>
        <v>0</v>
      </c>
      <c r="N631" s="1310"/>
      <c r="O631" s="788">
        <f t="shared" si="55"/>
        <v>0</v>
      </c>
      <c r="P631" s="788">
        <f t="shared" si="56"/>
        <v>0</v>
      </c>
    </row>
    <row r="632" spans="3:16">
      <c r="C632" s="784">
        <f>IF(D616="","-",+C631+1)</f>
        <v>2026</v>
      </c>
      <c r="D632" s="732">
        <f t="shared" si="57"/>
        <v>38571275.692307666</v>
      </c>
      <c r="E632" s="785">
        <f t="shared" si="59"/>
        <v>1285709.1897435896</v>
      </c>
      <c r="F632" s="785">
        <f t="shared" si="53"/>
        <v>37285566.502564073</v>
      </c>
      <c r="G632" s="732">
        <f t="shared" si="58"/>
        <v>37928421.097435869</v>
      </c>
      <c r="H632" s="790">
        <f>+J617*G632+E632</f>
        <v>5672137.1453655856</v>
      </c>
      <c r="I632" s="791">
        <f>+J618*G632+E632</f>
        <v>5672137.1453655856</v>
      </c>
      <c r="J632" s="788">
        <f t="shared" si="60"/>
        <v>0</v>
      </c>
      <c r="K632" s="788"/>
      <c r="L632" s="1310"/>
      <c r="M632" s="788">
        <f t="shared" si="54"/>
        <v>0</v>
      </c>
      <c r="N632" s="1310"/>
      <c r="O632" s="788">
        <f t="shared" si="55"/>
        <v>0</v>
      </c>
      <c r="P632" s="788">
        <f t="shared" si="56"/>
        <v>0</v>
      </c>
    </row>
    <row r="633" spans="3:16">
      <c r="C633" s="784">
        <f>IF(D616="","-",+C632+1)</f>
        <v>2027</v>
      </c>
      <c r="D633" s="732">
        <f t="shared" si="57"/>
        <v>37285566.502564073</v>
      </c>
      <c r="E633" s="785">
        <f t="shared" si="59"/>
        <v>1285709.1897435896</v>
      </c>
      <c r="F633" s="785">
        <f t="shared" si="53"/>
        <v>35999857.312820479</v>
      </c>
      <c r="G633" s="732">
        <f t="shared" si="58"/>
        <v>36642711.907692276</v>
      </c>
      <c r="H633" s="790">
        <f>+J617*G633+E633</f>
        <v>5523444.6722936528</v>
      </c>
      <c r="I633" s="791">
        <f>+J618*G633+E633</f>
        <v>5523444.6722936528</v>
      </c>
      <c r="J633" s="788">
        <f t="shared" si="60"/>
        <v>0</v>
      </c>
      <c r="K633" s="788"/>
      <c r="L633" s="1310"/>
      <c r="M633" s="788">
        <f t="shared" si="54"/>
        <v>0</v>
      </c>
      <c r="N633" s="1310"/>
      <c r="O633" s="788">
        <f t="shared" si="55"/>
        <v>0</v>
      </c>
      <c r="P633" s="788">
        <f t="shared" si="56"/>
        <v>0</v>
      </c>
    </row>
    <row r="634" spans="3:16">
      <c r="C634" s="784">
        <f>IF(D616="","-",+C633+1)</f>
        <v>2028</v>
      </c>
      <c r="D634" s="732">
        <f t="shared" si="57"/>
        <v>35999857.312820479</v>
      </c>
      <c r="E634" s="785">
        <f t="shared" si="59"/>
        <v>1285709.1897435896</v>
      </c>
      <c r="F634" s="785">
        <f t="shared" si="53"/>
        <v>34714148.123076886</v>
      </c>
      <c r="G634" s="732">
        <f t="shared" si="58"/>
        <v>35357002.717948683</v>
      </c>
      <c r="H634" s="790">
        <f>+J617*G634+E634</f>
        <v>5374752.1992217209</v>
      </c>
      <c r="I634" s="791">
        <f>+J618*G634+E634</f>
        <v>5374752.1992217209</v>
      </c>
      <c r="J634" s="788">
        <f t="shared" si="60"/>
        <v>0</v>
      </c>
      <c r="K634" s="788"/>
      <c r="L634" s="1310"/>
      <c r="M634" s="788">
        <f t="shared" si="54"/>
        <v>0</v>
      </c>
      <c r="N634" s="1310"/>
      <c r="O634" s="788">
        <f t="shared" si="55"/>
        <v>0</v>
      </c>
      <c r="P634" s="788">
        <f t="shared" si="56"/>
        <v>0</v>
      </c>
    </row>
    <row r="635" spans="3:16">
      <c r="C635" s="784">
        <f>IF(D616="","-",+C634+1)</f>
        <v>2029</v>
      </c>
      <c r="D635" s="732">
        <f t="shared" si="57"/>
        <v>34714148.123076886</v>
      </c>
      <c r="E635" s="785">
        <f t="shared" si="59"/>
        <v>1285709.1897435896</v>
      </c>
      <c r="F635" s="785">
        <f t="shared" si="53"/>
        <v>33428438.933333296</v>
      </c>
      <c r="G635" s="732">
        <f t="shared" si="58"/>
        <v>34071293.528205089</v>
      </c>
      <c r="H635" s="790">
        <f>+J617*G635+E635</f>
        <v>5226059.7261497881</v>
      </c>
      <c r="I635" s="791">
        <f>+J618*G635+E635</f>
        <v>5226059.7261497881</v>
      </c>
      <c r="J635" s="788">
        <f t="shared" si="60"/>
        <v>0</v>
      </c>
      <c r="K635" s="788"/>
      <c r="L635" s="1310"/>
      <c r="M635" s="788">
        <f t="shared" si="54"/>
        <v>0</v>
      </c>
      <c r="N635" s="1310"/>
      <c r="O635" s="788">
        <f t="shared" si="55"/>
        <v>0</v>
      </c>
      <c r="P635" s="788">
        <f t="shared" si="56"/>
        <v>0</v>
      </c>
    </row>
    <row r="636" spans="3:16">
      <c r="C636" s="784">
        <f>IF(D616="","-",+C635+1)</f>
        <v>2030</v>
      </c>
      <c r="D636" s="732">
        <f t="shared" si="57"/>
        <v>33428438.933333296</v>
      </c>
      <c r="E636" s="785">
        <f t="shared" si="59"/>
        <v>1285709.1897435896</v>
      </c>
      <c r="F636" s="785">
        <f t="shared" si="53"/>
        <v>32142729.743589707</v>
      </c>
      <c r="G636" s="732">
        <f t="shared" si="58"/>
        <v>32785584.338461503</v>
      </c>
      <c r="H636" s="790">
        <f>+J617*G636+E636</f>
        <v>5077367.2530778553</v>
      </c>
      <c r="I636" s="791">
        <f>+J618*G636+E636</f>
        <v>5077367.2530778553</v>
      </c>
      <c r="J636" s="788">
        <f t="shared" si="60"/>
        <v>0</v>
      </c>
      <c r="K636" s="788"/>
      <c r="L636" s="1310"/>
      <c r="M636" s="788">
        <f t="shared" si="54"/>
        <v>0</v>
      </c>
      <c r="N636" s="1310"/>
      <c r="O636" s="788">
        <f t="shared" si="55"/>
        <v>0</v>
      </c>
      <c r="P636" s="788">
        <f t="shared" si="56"/>
        <v>0</v>
      </c>
    </row>
    <row r="637" spans="3:16">
      <c r="C637" s="784">
        <f>IF(D616="","-",+C636+1)</f>
        <v>2031</v>
      </c>
      <c r="D637" s="732">
        <f t="shared" si="57"/>
        <v>32142729.743589707</v>
      </c>
      <c r="E637" s="785">
        <f t="shared" si="59"/>
        <v>1285709.1897435896</v>
      </c>
      <c r="F637" s="785">
        <f t="shared" si="53"/>
        <v>30857020.553846117</v>
      </c>
      <c r="G637" s="732">
        <f t="shared" si="58"/>
        <v>31499875.14871791</v>
      </c>
      <c r="H637" s="790">
        <f>+J617*G637+E637</f>
        <v>4928674.7800059235</v>
      </c>
      <c r="I637" s="791">
        <f>+J618*G637+E637</f>
        <v>4928674.7800059235</v>
      </c>
      <c r="J637" s="788">
        <f t="shared" si="60"/>
        <v>0</v>
      </c>
      <c r="K637" s="788"/>
      <c r="L637" s="1310"/>
      <c r="M637" s="788">
        <f t="shared" si="54"/>
        <v>0</v>
      </c>
      <c r="N637" s="1310"/>
      <c r="O637" s="788">
        <f t="shared" si="55"/>
        <v>0</v>
      </c>
      <c r="P637" s="788">
        <f t="shared" si="56"/>
        <v>0</v>
      </c>
    </row>
    <row r="638" spans="3:16">
      <c r="C638" s="784">
        <f>IF(D616="","-",+C637+1)</f>
        <v>2032</v>
      </c>
      <c r="D638" s="732">
        <f t="shared" si="57"/>
        <v>30857020.553846117</v>
      </c>
      <c r="E638" s="785">
        <f t="shared" si="59"/>
        <v>1285709.1897435896</v>
      </c>
      <c r="F638" s="785">
        <f t="shared" si="53"/>
        <v>29571311.364102527</v>
      </c>
      <c r="G638" s="732">
        <f t="shared" si="58"/>
        <v>30214165.958974324</v>
      </c>
      <c r="H638" s="790">
        <f>+J617*G638+E638</f>
        <v>4779982.3069339916</v>
      </c>
      <c r="I638" s="791">
        <f>+J618*G638+E638</f>
        <v>4779982.3069339916</v>
      </c>
      <c r="J638" s="788">
        <f t="shared" si="60"/>
        <v>0</v>
      </c>
      <c r="K638" s="788"/>
      <c r="L638" s="1310"/>
      <c r="M638" s="788">
        <f t="shared" si="54"/>
        <v>0</v>
      </c>
      <c r="N638" s="1310"/>
      <c r="O638" s="788">
        <f t="shared" si="55"/>
        <v>0</v>
      </c>
      <c r="P638" s="788">
        <f t="shared" si="56"/>
        <v>0</v>
      </c>
    </row>
    <row r="639" spans="3:16">
      <c r="C639" s="784">
        <f>IF(D616="","-",+C638+1)</f>
        <v>2033</v>
      </c>
      <c r="D639" s="732">
        <f t="shared" si="57"/>
        <v>29571311.364102527</v>
      </c>
      <c r="E639" s="785">
        <f t="shared" si="59"/>
        <v>1285709.1897435896</v>
      </c>
      <c r="F639" s="785">
        <f t="shared" si="53"/>
        <v>28285602.174358938</v>
      </c>
      <c r="G639" s="732">
        <f t="shared" si="58"/>
        <v>28928456.769230731</v>
      </c>
      <c r="H639" s="790">
        <f>+J617*G639+E639</f>
        <v>4631289.8338620588</v>
      </c>
      <c r="I639" s="791">
        <f>+J618*G639+E639</f>
        <v>4631289.8338620588</v>
      </c>
      <c r="J639" s="788">
        <f t="shared" si="60"/>
        <v>0</v>
      </c>
      <c r="K639" s="788"/>
      <c r="L639" s="1310"/>
      <c r="M639" s="788">
        <f t="shared" si="54"/>
        <v>0</v>
      </c>
      <c r="N639" s="1310"/>
      <c r="O639" s="788">
        <f t="shared" si="55"/>
        <v>0</v>
      </c>
      <c r="P639" s="788">
        <f t="shared" si="56"/>
        <v>0</v>
      </c>
    </row>
    <row r="640" spans="3:16">
      <c r="C640" s="784">
        <f>IF(D616="","-",+C639+1)</f>
        <v>2034</v>
      </c>
      <c r="D640" s="732">
        <f t="shared" si="57"/>
        <v>28285602.174358938</v>
      </c>
      <c r="E640" s="785">
        <f t="shared" si="59"/>
        <v>1285709.1897435896</v>
      </c>
      <c r="F640" s="785">
        <f t="shared" si="53"/>
        <v>26999892.984615348</v>
      </c>
      <c r="G640" s="732">
        <f t="shared" si="58"/>
        <v>27642747.579487145</v>
      </c>
      <c r="H640" s="790">
        <f>+J617*G640+E640</f>
        <v>4482597.3607901279</v>
      </c>
      <c r="I640" s="791">
        <f>+J618*G640+E640</f>
        <v>4482597.3607901279</v>
      </c>
      <c r="J640" s="788">
        <f t="shared" si="60"/>
        <v>0</v>
      </c>
      <c r="K640" s="788"/>
      <c r="L640" s="1310"/>
      <c r="M640" s="788">
        <f t="shared" si="54"/>
        <v>0</v>
      </c>
      <c r="N640" s="1310"/>
      <c r="O640" s="788">
        <f t="shared" si="55"/>
        <v>0</v>
      </c>
      <c r="P640" s="788">
        <f t="shared" si="56"/>
        <v>0</v>
      </c>
    </row>
    <row r="641" spans="3:16">
      <c r="C641" s="784">
        <f>IF(D616="","-",+C640+1)</f>
        <v>2035</v>
      </c>
      <c r="D641" s="732">
        <f t="shared" si="57"/>
        <v>26999892.984615348</v>
      </c>
      <c r="E641" s="785">
        <f t="shared" si="59"/>
        <v>1285709.1897435896</v>
      </c>
      <c r="F641" s="785">
        <f t="shared" si="53"/>
        <v>25714183.794871759</v>
      </c>
      <c r="G641" s="732">
        <f t="shared" si="58"/>
        <v>26357038.389743552</v>
      </c>
      <c r="H641" s="790">
        <f>+J617*G641+E641</f>
        <v>4333904.8877181951</v>
      </c>
      <c r="I641" s="791">
        <f>+J618*G641+E641</f>
        <v>4333904.8877181951</v>
      </c>
      <c r="J641" s="788">
        <f t="shared" si="60"/>
        <v>0</v>
      </c>
      <c r="K641" s="788"/>
      <c r="L641" s="1310"/>
      <c r="M641" s="788">
        <f t="shared" si="54"/>
        <v>0</v>
      </c>
      <c r="N641" s="1310"/>
      <c r="O641" s="788">
        <f t="shared" si="55"/>
        <v>0</v>
      </c>
      <c r="P641" s="788">
        <f t="shared" si="56"/>
        <v>0</v>
      </c>
    </row>
    <row r="642" spans="3:16">
      <c r="C642" s="784">
        <f>IF(D616="","-",+C641+1)</f>
        <v>2036</v>
      </c>
      <c r="D642" s="732">
        <f t="shared" si="57"/>
        <v>25714183.794871759</v>
      </c>
      <c r="E642" s="785">
        <f t="shared" si="59"/>
        <v>1285709.1897435896</v>
      </c>
      <c r="F642" s="785">
        <f t="shared" si="53"/>
        <v>24428474.605128169</v>
      </c>
      <c r="G642" s="732">
        <f t="shared" si="58"/>
        <v>25071329.199999966</v>
      </c>
      <c r="H642" s="790">
        <f>+J617*G642+E642</f>
        <v>4185212.4146462632</v>
      </c>
      <c r="I642" s="791">
        <f>+J618*G642+E642</f>
        <v>4185212.4146462632</v>
      </c>
      <c r="J642" s="788">
        <f t="shared" si="60"/>
        <v>0</v>
      </c>
      <c r="K642" s="788"/>
      <c r="L642" s="1310"/>
      <c r="M642" s="788">
        <f t="shared" si="54"/>
        <v>0</v>
      </c>
      <c r="N642" s="1310"/>
      <c r="O642" s="788">
        <f t="shared" si="55"/>
        <v>0</v>
      </c>
      <c r="P642" s="788">
        <f t="shared" si="56"/>
        <v>0</v>
      </c>
    </row>
    <row r="643" spans="3:16">
      <c r="C643" s="784">
        <f>IF(D616="","-",+C642+1)</f>
        <v>2037</v>
      </c>
      <c r="D643" s="732">
        <f t="shared" si="57"/>
        <v>24428474.605128169</v>
      </c>
      <c r="E643" s="785">
        <f t="shared" si="59"/>
        <v>1285709.1897435896</v>
      </c>
      <c r="F643" s="785">
        <f t="shared" si="53"/>
        <v>23142765.415384579</v>
      </c>
      <c r="G643" s="732">
        <f t="shared" si="58"/>
        <v>23785620.010256372</v>
      </c>
      <c r="H643" s="790">
        <f>+J617*G643+E643</f>
        <v>4036519.9415743304</v>
      </c>
      <c r="I643" s="791">
        <f>+J618*G643+E643</f>
        <v>4036519.9415743304</v>
      </c>
      <c r="J643" s="788">
        <f t="shared" si="60"/>
        <v>0</v>
      </c>
      <c r="K643" s="788"/>
      <c r="L643" s="1310"/>
      <c r="M643" s="788">
        <f t="shared" si="54"/>
        <v>0</v>
      </c>
      <c r="N643" s="1310"/>
      <c r="O643" s="788">
        <f t="shared" si="55"/>
        <v>0</v>
      </c>
      <c r="P643" s="788">
        <f t="shared" si="56"/>
        <v>0</v>
      </c>
    </row>
    <row r="644" spans="3:16">
      <c r="C644" s="784">
        <f>IF(D616="","-",+C643+1)</f>
        <v>2038</v>
      </c>
      <c r="D644" s="732">
        <f t="shared" si="57"/>
        <v>23142765.415384579</v>
      </c>
      <c r="E644" s="785">
        <f t="shared" si="59"/>
        <v>1285709.1897435896</v>
      </c>
      <c r="F644" s="785">
        <f t="shared" si="53"/>
        <v>21857056.22564099</v>
      </c>
      <c r="G644" s="732">
        <f t="shared" si="58"/>
        <v>22499910.820512787</v>
      </c>
      <c r="H644" s="790">
        <f>+J617*G644+E644</f>
        <v>3887827.4685023986</v>
      </c>
      <c r="I644" s="791">
        <f>+J618*G644+E644</f>
        <v>3887827.4685023986</v>
      </c>
      <c r="J644" s="788">
        <f t="shared" si="60"/>
        <v>0</v>
      </c>
      <c r="K644" s="788"/>
      <c r="L644" s="1310"/>
      <c r="M644" s="788">
        <f t="shared" si="54"/>
        <v>0</v>
      </c>
      <c r="N644" s="1310"/>
      <c r="O644" s="788">
        <f t="shared" si="55"/>
        <v>0</v>
      </c>
      <c r="P644" s="788">
        <f t="shared" si="56"/>
        <v>0</v>
      </c>
    </row>
    <row r="645" spans="3:16">
      <c r="C645" s="784">
        <f>IF(D616="","-",+C644+1)</f>
        <v>2039</v>
      </c>
      <c r="D645" s="732">
        <f t="shared" si="57"/>
        <v>21857056.22564099</v>
      </c>
      <c r="E645" s="785">
        <f t="shared" si="59"/>
        <v>1285709.1897435896</v>
      </c>
      <c r="F645" s="785">
        <f t="shared" si="53"/>
        <v>20571347.0358974</v>
      </c>
      <c r="G645" s="732">
        <f t="shared" si="58"/>
        <v>21214201.630769193</v>
      </c>
      <c r="H645" s="790">
        <f>+J617*G645+E645</f>
        <v>3739134.9954304663</v>
      </c>
      <c r="I645" s="791">
        <f>+J618*G645+E645</f>
        <v>3739134.9954304663</v>
      </c>
      <c r="J645" s="788">
        <f t="shared" si="60"/>
        <v>0</v>
      </c>
      <c r="K645" s="788"/>
      <c r="L645" s="1310"/>
      <c r="M645" s="788">
        <f t="shared" si="54"/>
        <v>0</v>
      </c>
      <c r="N645" s="1310"/>
      <c r="O645" s="788">
        <f t="shared" si="55"/>
        <v>0</v>
      </c>
      <c r="P645" s="788">
        <f t="shared" si="56"/>
        <v>0</v>
      </c>
    </row>
    <row r="646" spans="3:16">
      <c r="C646" s="784">
        <f>IF(D616="","-",+C645+1)</f>
        <v>2040</v>
      </c>
      <c r="D646" s="732">
        <f t="shared" si="57"/>
        <v>20571347.0358974</v>
      </c>
      <c r="E646" s="785">
        <f t="shared" si="59"/>
        <v>1285709.1897435896</v>
      </c>
      <c r="F646" s="785">
        <f t="shared" si="53"/>
        <v>19285637.846153811</v>
      </c>
      <c r="G646" s="732">
        <f t="shared" si="58"/>
        <v>19928492.441025607</v>
      </c>
      <c r="H646" s="790">
        <f>+J617*G646+E646</f>
        <v>3590442.5223585344</v>
      </c>
      <c r="I646" s="791">
        <f>+J618*G646+E646</f>
        <v>3590442.5223585344</v>
      </c>
      <c r="J646" s="788">
        <f t="shared" si="60"/>
        <v>0</v>
      </c>
      <c r="K646" s="788"/>
      <c r="L646" s="1310"/>
      <c r="M646" s="788">
        <f t="shared" si="54"/>
        <v>0</v>
      </c>
      <c r="N646" s="1310"/>
      <c r="O646" s="788">
        <f t="shared" si="55"/>
        <v>0</v>
      </c>
      <c r="P646" s="788">
        <f t="shared" si="56"/>
        <v>0</v>
      </c>
    </row>
    <row r="647" spans="3:16">
      <c r="C647" s="784">
        <f>IF(D616="","-",+C646+1)</f>
        <v>2041</v>
      </c>
      <c r="D647" s="732">
        <f t="shared" si="57"/>
        <v>19285637.846153811</v>
      </c>
      <c r="E647" s="785">
        <f t="shared" si="59"/>
        <v>1285709.1897435896</v>
      </c>
      <c r="F647" s="785">
        <f t="shared" si="53"/>
        <v>17999928.656410221</v>
      </c>
      <c r="G647" s="732">
        <f t="shared" si="58"/>
        <v>18642783.251282014</v>
      </c>
      <c r="H647" s="790">
        <f>+J617*G647+E647</f>
        <v>3441750.0492866016</v>
      </c>
      <c r="I647" s="791">
        <f>+J618*G647+E647</f>
        <v>3441750.0492866016</v>
      </c>
      <c r="J647" s="788">
        <f t="shared" si="60"/>
        <v>0</v>
      </c>
      <c r="K647" s="788"/>
      <c r="L647" s="1310"/>
      <c r="M647" s="788">
        <f t="shared" si="54"/>
        <v>0</v>
      </c>
      <c r="N647" s="1310"/>
      <c r="O647" s="788">
        <f t="shared" si="55"/>
        <v>0</v>
      </c>
      <c r="P647" s="788">
        <f t="shared" si="56"/>
        <v>0</v>
      </c>
    </row>
    <row r="648" spans="3:16">
      <c r="C648" s="784">
        <f>IF(D616="","-",+C647+1)</f>
        <v>2042</v>
      </c>
      <c r="D648" s="732">
        <f t="shared" si="57"/>
        <v>17999928.656410221</v>
      </c>
      <c r="E648" s="785">
        <f t="shared" si="59"/>
        <v>1285709.1897435896</v>
      </c>
      <c r="F648" s="785">
        <f t="shared" si="53"/>
        <v>16714219.466666631</v>
      </c>
      <c r="G648" s="732">
        <f t="shared" si="58"/>
        <v>17357074.061538428</v>
      </c>
      <c r="H648" s="790">
        <f>+J617*G648+E648</f>
        <v>3293057.5762146702</v>
      </c>
      <c r="I648" s="791">
        <f>+J618*G648+E648</f>
        <v>3293057.5762146702</v>
      </c>
      <c r="J648" s="788">
        <f t="shared" si="60"/>
        <v>0</v>
      </c>
      <c r="K648" s="788"/>
      <c r="L648" s="1310"/>
      <c r="M648" s="788">
        <f t="shared" si="54"/>
        <v>0</v>
      </c>
      <c r="N648" s="1310"/>
      <c r="O648" s="788">
        <f t="shared" si="55"/>
        <v>0</v>
      </c>
      <c r="P648" s="788">
        <f t="shared" si="56"/>
        <v>0</v>
      </c>
    </row>
    <row r="649" spans="3:16">
      <c r="C649" s="784">
        <f>IF(D616="","-",+C648+1)</f>
        <v>2043</v>
      </c>
      <c r="D649" s="732">
        <f t="shared" si="57"/>
        <v>16714219.466666631</v>
      </c>
      <c r="E649" s="785">
        <f t="shared" si="59"/>
        <v>1285709.1897435896</v>
      </c>
      <c r="F649" s="785">
        <f t="shared" si="53"/>
        <v>15428510.276923042</v>
      </c>
      <c r="G649" s="732">
        <f t="shared" si="58"/>
        <v>16071364.871794837</v>
      </c>
      <c r="H649" s="790">
        <f>+J617*G649+E649</f>
        <v>3144365.1031427374</v>
      </c>
      <c r="I649" s="791">
        <f>+J618*G649+E649</f>
        <v>3144365.1031427374</v>
      </c>
      <c r="J649" s="788">
        <f t="shared" si="60"/>
        <v>0</v>
      </c>
      <c r="K649" s="788"/>
      <c r="L649" s="1310"/>
      <c r="M649" s="788">
        <f t="shared" si="54"/>
        <v>0</v>
      </c>
      <c r="N649" s="1310"/>
      <c r="O649" s="788">
        <f t="shared" si="55"/>
        <v>0</v>
      </c>
      <c r="P649" s="788">
        <f t="shared" si="56"/>
        <v>0</v>
      </c>
    </row>
    <row r="650" spans="3:16">
      <c r="C650" s="784">
        <f>IF(D616="","-",+C649+1)</f>
        <v>2044</v>
      </c>
      <c r="D650" s="732">
        <f t="shared" si="57"/>
        <v>15428510.276923042</v>
      </c>
      <c r="E650" s="785">
        <f t="shared" si="59"/>
        <v>1285709.1897435896</v>
      </c>
      <c r="F650" s="785">
        <f t="shared" si="53"/>
        <v>14142801.087179452</v>
      </c>
      <c r="G650" s="732">
        <f t="shared" si="58"/>
        <v>14785655.682051247</v>
      </c>
      <c r="H650" s="790">
        <f>+J617*G650+E650</f>
        <v>2995672.6300708055</v>
      </c>
      <c r="I650" s="791">
        <f>+J618*G650+E650</f>
        <v>2995672.6300708055</v>
      </c>
      <c r="J650" s="788">
        <f t="shared" si="60"/>
        <v>0</v>
      </c>
      <c r="K650" s="788"/>
      <c r="L650" s="1310"/>
      <c r="M650" s="788">
        <f t="shared" si="54"/>
        <v>0</v>
      </c>
      <c r="N650" s="1310"/>
      <c r="O650" s="788">
        <f t="shared" si="55"/>
        <v>0</v>
      </c>
      <c r="P650" s="788">
        <f t="shared" si="56"/>
        <v>0</v>
      </c>
    </row>
    <row r="651" spans="3:16">
      <c r="C651" s="784">
        <f>IF(D616="","-",+C650+1)</f>
        <v>2045</v>
      </c>
      <c r="D651" s="732">
        <f t="shared" si="57"/>
        <v>14142801.087179452</v>
      </c>
      <c r="E651" s="785">
        <f t="shared" si="59"/>
        <v>1285709.1897435896</v>
      </c>
      <c r="F651" s="785">
        <f t="shared" si="53"/>
        <v>12857091.897435863</v>
      </c>
      <c r="G651" s="732">
        <f t="shared" si="58"/>
        <v>13499946.492307657</v>
      </c>
      <c r="H651" s="790">
        <f>+J617*G651+E651</f>
        <v>2846980.1569988737</v>
      </c>
      <c r="I651" s="791">
        <f>+J618*G651+E651</f>
        <v>2846980.1569988737</v>
      </c>
      <c r="J651" s="788">
        <f t="shared" si="60"/>
        <v>0</v>
      </c>
      <c r="K651" s="788"/>
      <c r="L651" s="1310"/>
      <c r="M651" s="788">
        <f t="shared" si="54"/>
        <v>0</v>
      </c>
      <c r="N651" s="1310"/>
      <c r="O651" s="788">
        <f t="shared" si="55"/>
        <v>0</v>
      </c>
      <c r="P651" s="788">
        <f t="shared" si="56"/>
        <v>0</v>
      </c>
    </row>
    <row r="652" spans="3:16">
      <c r="C652" s="784">
        <f>IF(D616="","-",+C651+1)</f>
        <v>2046</v>
      </c>
      <c r="D652" s="732">
        <f t="shared" si="57"/>
        <v>12857091.897435863</v>
      </c>
      <c r="E652" s="785">
        <f t="shared" si="59"/>
        <v>1285709.1897435896</v>
      </c>
      <c r="F652" s="785">
        <f t="shared" si="53"/>
        <v>11571382.707692273</v>
      </c>
      <c r="G652" s="732">
        <f t="shared" si="58"/>
        <v>12214237.302564068</v>
      </c>
      <c r="H652" s="790">
        <f>+J617*G652+E652</f>
        <v>2698287.6839269409</v>
      </c>
      <c r="I652" s="791">
        <f>+J618*G652+E652</f>
        <v>2698287.6839269409</v>
      </c>
      <c r="J652" s="788">
        <f t="shared" si="60"/>
        <v>0</v>
      </c>
      <c r="K652" s="788"/>
      <c r="L652" s="1310"/>
      <c r="M652" s="788">
        <f t="shared" si="54"/>
        <v>0</v>
      </c>
      <c r="N652" s="1310"/>
      <c r="O652" s="788">
        <f t="shared" si="55"/>
        <v>0</v>
      </c>
      <c r="P652" s="788">
        <f t="shared" si="56"/>
        <v>0</v>
      </c>
    </row>
    <row r="653" spans="3:16">
      <c r="C653" s="784">
        <f>IF(D616="","-",+C652+1)</f>
        <v>2047</v>
      </c>
      <c r="D653" s="732">
        <f t="shared" si="57"/>
        <v>11571382.707692273</v>
      </c>
      <c r="E653" s="785">
        <f t="shared" si="59"/>
        <v>1285709.1897435896</v>
      </c>
      <c r="F653" s="785">
        <f t="shared" si="53"/>
        <v>10285673.517948683</v>
      </c>
      <c r="G653" s="732">
        <f t="shared" si="58"/>
        <v>10928528.112820478</v>
      </c>
      <c r="H653" s="790">
        <f>+J617*G653+E653</f>
        <v>2549595.210855009</v>
      </c>
      <c r="I653" s="791">
        <f>+J618*G653+E653</f>
        <v>2549595.210855009</v>
      </c>
      <c r="J653" s="788">
        <f t="shared" si="60"/>
        <v>0</v>
      </c>
      <c r="K653" s="788"/>
      <c r="L653" s="1310"/>
      <c r="M653" s="788">
        <f t="shared" si="54"/>
        <v>0</v>
      </c>
      <c r="N653" s="1310"/>
      <c r="O653" s="788">
        <f t="shared" si="55"/>
        <v>0</v>
      </c>
      <c r="P653" s="788">
        <f t="shared" si="56"/>
        <v>0</v>
      </c>
    </row>
    <row r="654" spans="3:16">
      <c r="C654" s="784">
        <f>IF(D616="","-",+C653+1)</f>
        <v>2048</v>
      </c>
      <c r="D654" s="732">
        <f t="shared" si="57"/>
        <v>10285673.517948683</v>
      </c>
      <c r="E654" s="785">
        <f t="shared" si="59"/>
        <v>1285709.1897435896</v>
      </c>
      <c r="F654" s="785">
        <f t="shared" si="53"/>
        <v>8999964.3282050937</v>
      </c>
      <c r="G654" s="732">
        <f t="shared" si="58"/>
        <v>9642818.9230768885</v>
      </c>
      <c r="H654" s="790">
        <f>+J617*G654+E654</f>
        <v>2400902.7377830772</v>
      </c>
      <c r="I654" s="791">
        <f>+J618*G654+E654</f>
        <v>2400902.7377830772</v>
      </c>
      <c r="J654" s="788">
        <f t="shared" si="60"/>
        <v>0</v>
      </c>
      <c r="K654" s="788"/>
      <c r="L654" s="1310"/>
      <c r="M654" s="788">
        <f t="shared" si="54"/>
        <v>0</v>
      </c>
      <c r="N654" s="1310"/>
      <c r="O654" s="788">
        <f t="shared" si="55"/>
        <v>0</v>
      </c>
      <c r="P654" s="788">
        <f t="shared" si="56"/>
        <v>0</v>
      </c>
    </row>
    <row r="655" spans="3:16">
      <c r="C655" s="784">
        <f>IF(D616="","-",+C654+1)</f>
        <v>2049</v>
      </c>
      <c r="D655" s="732">
        <f t="shared" si="57"/>
        <v>8999964.3282050937</v>
      </c>
      <c r="E655" s="785">
        <f t="shared" si="59"/>
        <v>1285709.1897435896</v>
      </c>
      <c r="F655" s="785">
        <f t="shared" si="53"/>
        <v>7714255.1384615041</v>
      </c>
      <c r="G655" s="732">
        <f t="shared" si="58"/>
        <v>8357109.7333332989</v>
      </c>
      <c r="H655" s="790">
        <f>+J617*G655+E655</f>
        <v>2252210.2647111448</v>
      </c>
      <c r="I655" s="791">
        <f>+J618*G655+E655</f>
        <v>2252210.2647111448</v>
      </c>
      <c r="J655" s="788">
        <f t="shared" si="60"/>
        <v>0</v>
      </c>
      <c r="K655" s="788"/>
      <c r="L655" s="1310"/>
      <c r="M655" s="788">
        <f t="shared" si="54"/>
        <v>0</v>
      </c>
      <c r="N655" s="1310"/>
      <c r="O655" s="788">
        <f t="shared" si="55"/>
        <v>0</v>
      </c>
      <c r="P655" s="788">
        <f t="shared" si="56"/>
        <v>0</v>
      </c>
    </row>
    <row r="656" spans="3:16">
      <c r="C656" s="784">
        <f>IF(D616="","-",+C655+1)</f>
        <v>2050</v>
      </c>
      <c r="D656" s="732">
        <f t="shared" si="57"/>
        <v>7714255.1384615041</v>
      </c>
      <c r="E656" s="785">
        <f t="shared" si="59"/>
        <v>1285709.1897435896</v>
      </c>
      <c r="F656" s="785">
        <f t="shared" si="53"/>
        <v>6428545.9487179145</v>
      </c>
      <c r="G656" s="732">
        <f t="shared" si="58"/>
        <v>7071400.5435897093</v>
      </c>
      <c r="H656" s="790">
        <f>+J617*G656+E656</f>
        <v>2103517.7916392125</v>
      </c>
      <c r="I656" s="791">
        <f>+J618*G656+E656</f>
        <v>2103517.7916392125</v>
      </c>
      <c r="J656" s="788">
        <f t="shared" si="60"/>
        <v>0</v>
      </c>
      <c r="K656" s="788"/>
      <c r="L656" s="1310"/>
      <c r="M656" s="788">
        <f t="shared" si="54"/>
        <v>0</v>
      </c>
      <c r="N656" s="1310"/>
      <c r="O656" s="788">
        <f t="shared" si="55"/>
        <v>0</v>
      </c>
      <c r="P656" s="788">
        <f t="shared" si="56"/>
        <v>0</v>
      </c>
    </row>
    <row r="657" spans="3:16">
      <c r="C657" s="784">
        <f>IF(D616="","-",+C656+1)</f>
        <v>2051</v>
      </c>
      <c r="D657" s="732">
        <f t="shared" si="57"/>
        <v>6428545.9487179145</v>
      </c>
      <c r="E657" s="785">
        <f t="shared" si="59"/>
        <v>1285709.1897435896</v>
      </c>
      <c r="F657" s="785">
        <f t="shared" si="53"/>
        <v>5142836.7589743249</v>
      </c>
      <c r="G657" s="732">
        <f t="shared" si="58"/>
        <v>5785691.3538461197</v>
      </c>
      <c r="H657" s="790">
        <f>+J617*G657+E657</f>
        <v>1954825.3185672804</v>
      </c>
      <c r="I657" s="791">
        <f>+J618*G657+E657</f>
        <v>1954825.3185672804</v>
      </c>
      <c r="J657" s="788">
        <f t="shared" si="60"/>
        <v>0</v>
      </c>
      <c r="K657" s="788"/>
      <c r="L657" s="1310"/>
      <c r="M657" s="788">
        <f t="shared" si="54"/>
        <v>0</v>
      </c>
      <c r="N657" s="1310"/>
      <c r="O657" s="788">
        <f t="shared" si="55"/>
        <v>0</v>
      </c>
      <c r="P657" s="788">
        <f t="shared" si="56"/>
        <v>0</v>
      </c>
    </row>
    <row r="658" spans="3:16">
      <c r="C658" s="784">
        <f>IF(D616="","-",+C657+1)</f>
        <v>2052</v>
      </c>
      <c r="D658" s="732">
        <f t="shared" si="57"/>
        <v>5142836.7589743249</v>
      </c>
      <c r="E658" s="785">
        <f t="shared" si="59"/>
        <v>1285709.1897435896</v>
      </c>
      <c r="F658" s="785">
        <f t="shared" si="53"/>
        <v>3857127.5692307353</v>
      </c>
      <c r="G658" s="732">
        <f t="shared" si="58"/>
        <v>4499982.1641025301</v>
      </c>
      <c r="H658" s="790">
        <f>+J617*G658+E658</f>
        <v>1806132.8454953483</v>
      </c>
      <c r="I658" s="791">
        <f>+J618*G658+E658</f>
        <v>1806132.8454953483</v>
      </c>
      <c r="J658" s="788">
        <f t="shared" si="60"/>
        <v>0</v>
      </c>
      <c r="K658" s="788"/>
      <c r="L658" s="1310"/>
      <c r="M658" s="788">
        <f t="shared" si="54"/>
        <v>0</v>
      </c>
      <c r="N658" s="1310"/>
      <c r="O658" s="788">
        <f t="shared" si="55"/>
        <v>0</v>
      </c>
      <c r="P658" s="788">
        <f t="shared" si="56"/>
        <v>0</v>
      </c>
    </row>
    <row r="659" spans="3:16">
      <c r="C659" s="784">
        <f>IF(D616="","-",+C658+1)</f>
        <v>2053</v>
      </c>
      <c r="D659" s="732">
        <f t="shared" si="57"/>
        <v>3857127.5692307353</v>
      </c>
      <c r="E659" s="785">
        <f t="shared" si="59"/>
        <v>1285709.1897435896</v>
      </c>
      <c r="F659" s="785">
        <f t="shared" si="53"/>
        <v>2571418.3794871457</v>
      </c>
      <c r="G659" s="732">
        <f t="shared" si="58"/>
        <v>3214272.9743589405</v>
      </c>
      <c r="H659" s="790">
        <f>+J617*G659+E659</f>
        <v>1657440.372423416</v>
      </c>
      <c r="I659" s="791">
        <f>+J618*G659+E659</f>
        <v>1657440.372423416</v>
      </c>
      <c r="J659" s="788">
        <f t="shared" si="60"/>
        <v>0</v>
      </c>
      <c r="K659" s="788"/>
      <c r="L659" s="1310"/>
      <c r="M659" s="788">
        <f t="shared" si="54"/>
        <v>0</v>
      </c>
      <c r="N659" s="1310"/>
      <c r="O659" s="788">
        <f t="shared" si="55"/>
        <v>0</v>
      </c>
      <c r="P659" s="788">
        <f t="shared" si="56"/>
        <v>0</v>
      </c>
    </row>
    <row r="660" spans="3:16">
      <c r="C660" s="784">
        <f>IF(D616="","-",+C659+1)</f>
        <v>2054</v>
      </c>
      <c r="D660" s="732">
        <f t="shared" si="57"/>
        <v>2571418.3794871457</v>
      </c>
      <c r="E660" s="785">
        <f t="shared" si="59"/>
        <v>1285709.1897435896</v>
      </c>
      <c r="F660" s="785">
        <f t="shared" si="53"/>
        <v>1285709.1897435561</v>
      </c>
      <c r="G660" s="732">
        <f t="shared" si="58"/>
        <v>1928563.7846153509</v>
      </c>
      <c r="H660" s="790">
        <f>+J617*G660+E660</f>
        <v>1508747.8993514839</v>
      </c>
      <c r="I660" s="791">
        <f>+J618*G660+E660</f>
        <v>1508747.8993514839</v>
      </c>
      <c r="J660" s="788">
        <f t="shared" si="60"/>
        <v>0</v>
      </c>
      <c r="K660" s="788"/>
      <c r="L660" s="1310"/>
      <c r="M660" s="788">
        <f t="shared" si="54"/>
        <v>0</v>
      </c>
      <c r="N660" s="1310"/>
      <c r="O660" s="788">
        <f t="shared" si="55"/>
        <v>0</v>
      </c>
      <c r="P660" s="788">
        <f t="shared" si="56"/>
        <v>0</v>
      </c>
    </row>
    <row r="661" spans="3:16">
      <c r="C661" s="784">
        <f>IF(D616="","-",+C660+1)</f>
        <v>2055</v>
      </c>
      <c r="D661" s="732">
        <f t="shared" si="57"/>
        <v>1285709.1897435561</v>
      </c>
      <c r="E661" s="785">
        <f t="shared" si="59"/>
        <v>1285709.1897435561</v>
      </c>
      <c r="F661" s="785">
        <f t="shared" si="53"/>
        <v>0</v>
      </c>
      <c r="G661" s="732">
        <f t="shared" si="58"/>
        <v>642854.59487177804</v>
      </c>
      <c r="H661" s="790">
        <f>+J617*G661+E661</f>
        <v>1360055.4262795202</v>
      </c>
      <c r="I661" s="791">
        <f>+J618*G661+E661</f>
        <v>1360055.4262795202</v>
      </c>
      <c r="J661" s="788">
        <f t="shared" si="60"/>
        <v>0</v>
      </c>
      <c r="K661" s="788"/>
      <c r="L661" s="1310"/>
      <c r="M661" s="788">
        <f t="shared" si="54"/>
        <v>0</v>
      </c>
      <c r="N661" s="1310"/>
      <c r="O661" s="788">
        <f t="shared" si="55"/>
        <v>0</v>
      </c>
      <c r="P661" s="788">
        <f t="shared" si="56"/>
        <v>0</v>
      </c>
    </row>
    <row r="662" spans="3:16">
      <c r="C662" s="784">
        <f>IF(D616="","-",+C661+1)</f>
        <v>2056</v>
      </c>
      <c r="D662" s="732">
        <f t="shared" si="57"/>
        <v>0</v>
      </c>
      <c r="E662" s="785">
        <f t="shared" si="59"/>
        <v>0</v>
      </c>
      <c r="F662" s="785">
        <f t="shared" si="53"/>
        <v>0</v>
      </c>
      <c r="G662" s="732">
        <f t="shared" si="58"/>
        <v>0</v>
      </c>
      <c r="H662" s="790">
        <f>+J617*G662+E662</f>
        <v>0</v>
      </c>
      <c r="I662" s="791">
        <f>+J618*G662+E662</f>
        <v>0</v>
      </c>
      <c r="J662" s="788">
        <f t="shared" si="60"/>
        <v>0</v>
      </c>
      <c r="K662" s="788"/>
      <c r="L662" s="1310"/>
      <c r="M662" s="788">
        <f t="shared" si="54"/>
        <v>0</v>
      </c>
      <c r="N662" s="1310"/>
      <c r="O662" s="788">
        <f t="shared" si="55"/>
        <v>0</v>
      </c>
      <c r="P662" s="788">
        <f t="shared" si="56"/>
        <v>0</v>
      </c>
    </row>
    <row r="663" spans="3:16">
      <c r="C663" s="784">
        <f>IF(D616="","-",+C662+1)</f>
        <v>2057</v>
      </c>
      <c r="D663" s="732">
        <f t="shared" si="57"/>
        <v>0</v>
      </c>
      <c r="E663" s="785">
        <f t="shared" si="59"/>
        <v>0</v>
      </c>
      <c r="F663" s="785">
        <f t="shared" si="53"/>
        <v>0</v>
      </c>
      <c r="G663" s="732">
        <f t="shared" si="58"/>
        <v>0</v>
      </c>
      <c r="H663" s="790">
        <f>+J617*G663+E663</f>
        <v>0</v>
      </c>
      <c r="I663" s="791">
        <f>+J618*G663+E663</f>
        <v>0</v>
      </c>
      <c r="J663" s="788">
        <f t="shared" si="60"/>
        <v>0</v>
      </c>
      <c r="K663" s="788"/>
      <c r="L663" s="1310"/>
      <c r="M663" s="788">
        <f t="shared" si="54"/>
        <v>0</v>
      </c>
      <c r="N663" s="1310"/>
      <c r="O663" s="788">
        <f t="shared" si="55"/>
        <v>0</v>
      </c>
      <c r="P663" s="788">
        <f t="shared" si="56"/>
        <v>0</v>
      </c>
    </row>
    <row r="664" spans="3:16">
      <c r="C664" s="784">
        <f>IF(D616="","-",+C663+1)</f>
        <v>2058</v>
      </c>
      <c r="D664" s="732">
        <f t="shared" si="57"/>
        <v>0</v>
      </c>
      <c r="E664" s="785">
        <f t="shared" si="59"/>
        <v>0</v>
      </c>
      <c r="F664" s="785">
        <f t="shared" si="53"/>
        <v>0</v>
      </c>
      <c r="G664" s="732">
        <f t="shared" si="58"/>
        <v>0</v>
      </c>
      <c r="H664" s="790">
        <f>+J617*G664+E664</f>
        <v>0</v>
      </c>
      <c r="I664" s="791">
        <f>+J618*G664+E664</f>
        <v>0</v>
      </c>
      <c r="J664" s="788">
        <f t="shared" si="60"/>
        <v>0</v>
      </c>
      <c r="K664" s="788"/>
      <c r="L664" s="1310"/>
      <c r="M664" s="788">
        <f t="shared" si="54"/>
        <v>0</v>
      </c>
      <c r="N664" s="1310"/>
      <c r="O664" s="788">
        <f t="shared" si="55"/>
        <v>0</v>
      </c>
      <c r="P664" s="788">
        <f t="shared" si="56"/>
        <v>0</v>
      </c>
    </row>
    <row r="665" spans="3:16">
      <c r="C665" s="784">
        <f>IF(D616="","-",+C664+1)</f>
        <v>2059</v>
      </c>
      <c r="D665" s="732">
        <f t="shared" si="57"/>
        <v>0</v>
      </c>
      <c r="E665" s="785">
        <f t="shared" si="59"/>
        <v>0</v>
      </c>
      <c r="F665" s="785">
        <f t="shared" si="53"/>
        <v>0</v>
      </c>
      <c r="G665" s="732">
        <f t="shared" si="58"/>
        <v>0</v>
      </c>
      <c r="H665" s="790">
        <f>+J617*G665+E665</f>
        <v>0</v>
      </c>
      <c r="I665" s="791">
        <f>+J618*G665+E665</f>
        <v>0</v>
      </c>
      <c r="J665" s="788">
        <f t="shared" si="60"/>
        <v>0</v>
      </c>
      <c r="K665" s="788"/>
      <c r="L665" s="1310"/>
      <c r="M665" s="788">
        <f t="shared" si="54"/>
        <v>0</v>
      </c>
      <c r="N665" s="1310"/>
      <c r="O665" s="788">
        <f t="shared" si="55"/>
        <v>0</v>
      </c>
      <c r="P665" s="788">
        <f t="shared" si="56"/>
        <v>0</v>
      </c>
    </row>
    <row r="666" spans="3:16">
      <c r="C666" s="784">
        <f>IF(D616="","-",+C665+1)</f>
        <v>2060</v>
      </c>
      <c r="D666" s="732">
        <f t="shared" si="57"/>
        <v>0</v>
      </c>
      <c r="E666" s="785">
        <f t="shared" si="59"/>
        <v>0</v>
      </c>
      <c r="F666" s="785">
        <f t="shared" si="53"/>
        <v>0</v>
      </c>
      <c r="G666" s="732">
        <f t="shared" si="58"/>
        <v>0</v>
      </c>
      <c r="H666" s="790">
        <f>+J617*G666+E666</f>
        <v>0</v>
      </c>
      <c r="I666" s="791">
        <f>+J618*G666+E666</f>
        <v>0</v>
      </c>
      <c r="J666" s="788">
        <f t="shared" si="60"/>
        <v>0</v>
      </c>
      <c r="K666" s="788"/>
      <c r="L666" s="1310"/>
      <c r="M666" s="788">
        <f t="shared" si="54"/>
        <v>0</v>
      </c>
      <c r="N666" s="1310"/>
      <c r="O666" s="788">
        <f t="shared" si="55"/>
        <v>0</v>
      </c>
      <c r="P666" s="788">
        <f t="shared" si="56"/>
        <v>0</v>
      </c>
    </row>
    <row r="667" spans="3:16">
      <c r="C667" s="784">
        <f>IF(D616="","-",+C666+1)</f>
        <v>2061</v>
      </c>
      <c r="D667" s="732">
        <f t="shared" si="57"/>
        <v>0</v>
      </c>
      <c r="E667" s="785">
        <f t="shared" si="59"/>
        <v>0</v>
      </c>
      <c r="F667" s="785">
        <f t="shared" si="53"/>
        <v>0</v>
      </c>
      <c r="G667" s="732">
        <f t="shared" si="58"/>
        <v>0</v>
      </c>
      <c r="H667" s="790">
        <f>+J617*G667+E667</f>
        <v>0</v>
      </c>
      <c r="I667" s="791">
        <f>+J618*G667+E667</f>
        <v>0</v>
      </c>
      <c r="J667" s="788">
        <f t="shared" si="60"/>
        <v>0</v>
      </c>
      <c r="K667" s="788"/>
      <c r="L667" s="1310"/>
      <c r="M667" s="788">
        <f t="shared" si="54"/>
        <v>0</v>
      </c>
      <c r="N667" s="1310"/>
      <c r="O667" s="788">
        <f t="shared" si="55"/>
        <v>0</v>
      </c>
      <c r="P667" s="788">
        <f t="shared" si="56"/>
        <v>0</v>
      </c>
    </row>
    <row r="668" spans="3:16">
      <c r="C668" s="784">
        <f>IF(D616="","-",+C667+1)</f>
        <v>2062</v>
      </c>
      <c r="D668" s="732">
        <f t="shared" si="57"/>
        <v>0</v>
      </c>
      <c r="E668" s="785">
        <f t="shared" si="59"/>
        <v>0</v>
      </c>
      <c r="F668" s="785">
        <f t="shared" si="53"/>
        <v>0</v>
      </c>
      <c r="G668" s="732">
        <f t="shared" si="58"/>
        <v>0</v>
      </c>
      <c r="H668" s="790">
        <f>+J617*G668+E668</f>
        <v>0</v>
      </c>
      <c r="I668" s="791">
        <f>+J618*G668+E668</f>
        <v>0</v>
      </c>
      <c r="J668" s="788">
        <f t="shared" si="60"/>
        <v>0</v>
      </c>
      <c r="K668" s="788"/>
      <c r="L668" s="1310"/>
      <c r="M668" s="788">
        <f t="shared" si="54"/>
        <v>0</v>
      </c>
      <c r="N668" s="1310"/>
      <c r="O668" s="788">
        <f t="shared" si="55"/>
        <v>0</v>
      </c>
      <c r="P668" s="788">
        <f t="shared" si="56"/>
        <v>0</v>
      </c>
    </row>
    <row r="669" spans="3:16">
      <c r="C669" s="784">
        <f>IF(D616="","-",+C668+1)</f>
        <v>2063</v>
      </c>
      <c r="D669" s="732">
        <f t="shared" si="57"/>
        <v>0</v>
      </c>
      <c r="E669" s="785">
        <f t="shared" si="59"/>
        <v>0</v>
      </c>
      <c r="F669" s="785">
        <f t="shared" si="53"/>
        <v>0</v>
      </c>
      <c r="G669" s="732">
        <f t="shared" si="58"/>
        <v>0</v>
      </c>
      <c r="H669" s="790">
        <f>+J617*G669+E669</f>
        <v>0</v>
      </c>
      <c r="I669" s="791">
        <f>+J618*G669+E669</f>
        <v>0</v>
      </c>
      <c r="J669" s="788">
        <f t="shared" si="60"/>
        <v>0</v>
      </c>
      <c r="K669" s="788"/>
      <c r="L669" s="1310"/>
      <c r="M669" s="788">
        <f t="shared" si="54"/>
        <v>0</v>
      </c>
      <c r="N669" s="1310"/>
      <c r="O669" s="788">
        <f t="shared" si="55"/>
        <v>0</v>
      </c>
      <c r="P669" s="788">
        <f t="shared" si="56"/>
        <v>0</v>
      </c>
    </row>
    <row r="670" spans="3:16">
      <c r="C670" s="784">
        <f>IF(D616="","-",+C669+1)</f>
        <v>2064</v>
      </c>
      <c r="D670" s="732">
        <f t="shared" si="57"/>
        <v>0</v>
      </c>
      <c r="E670" s="785">
        <f t="shared" si="59"/>
        <v>0</v>
      </c>
      <c r="F670" s="785">
        <f t="shared" si="53"/>
        <v>0</v>
      </c>
      <c r="G670" s="732">
        <f t="shared" si="58"/>
        <v>0</v>
      </c>
      <c r="H670" s="790">
        <f>+J617*G670+E670</f>
        <v>0</v>
      </c>
      <c r="I670" s="791">
        <f>+J618*G670+E670</f>
        <v>0</v>
      </c>
      <c r="J670" s="788">
        <f t="shared" si="60"/>
        <v>0</v>
      </c>
      <c r="K670" s="788"/>
      <c r="L670" s="1310"/>
      <c r="M670" s="788">
        <f t="shared" si="54"/>
        <v>0</v>
      </c>
      <c r="N670" s="1310"/>
      <c r="O670" s="788">
        <f t="shared" si="55"/>
        <v>0</v>
      </c>
      <c r="P670" s="788">
        <f t="shared" si="56"/>
        <v>0</v>
      </c>
    </row>
    <row r="671" spans="3:16">
      <c r="C671" s="784">
        <f>IF(D616="","-",+C670+1)</f>
        <v>2065</v>
      </c>
      <c r="D671" s="732">
        <f t="shared" si="57"/>
        <v>0</v>
      </c>
      <c r="E671" s="785">
        <f t="shared" si="59"/>
        <v>0</v>
      </c>
      <c r="F671" s="785">
        <f t="shared" si="53"/>
        <v>0</v>
      </c>
      <c r="G671" s="732">
        <f t="shared" si="58"/>
        <v>0</v>
      </c>
      <c r="H671" s="790">
        <f>+J617*G671+E671</f>
        <v>0</v>
      </c>
      <c r="I671" s="791">
        <f>+J618*G671+E671</f>
        <v>0</v>
      </c>
      <c r="J671" s="788">
        <f t="shared" si="60"/>
        <v>0</v>
      </c>
      <c r="K671" s="788"/>
      <c r="L671" s="1310"/>
      <c r="M671" s="788">
        <f t="shared" si="54"/>
        <v>0</v>
      </c>
      <c r="N671" s="1310"/>
      <c r="O671" s="788">
        <f t="shared" si="55"/>
        <v>0</v>
      </c>
      <c r="P671" s="788">
        <f t="shared" si="56"/>
        <v>0</v>
      </c>
    </row>
    <row r="672" spans="3:16">
      <c r="C672" s="784">
        <f>IF(D616="","-",+C671+1)</f>
        <v>2066</v>
      </c>
      <c r="D672" s="732">
        <f t="shared" si="57"/>
        <v>0</v>
      </c>
      <c r="E672" s="785">
        <f t="shared" si="59"/>
        <v>0</v>
      </c>
      <c r="F672" s="785">
        <f t="shared" si="53"/>
        <v>0</v>
      </c>
      <c r="G672" s="732">
        <f t="shared" si="58"/>
        <v>0</v>
      </c>
      <c r="H672" s="790">
        <f>+J617*G672+E672</f>
        <v>0</v>
      </c>
      <c r="I672" s="791">
        <f>+J618*G672+E672</f>
        <v>0</v>
      </c>
      <c r="J672" s="788">
        <f t="shared" si="60"/>
        <v>0</v>
      </c>
      <c r="K672" s="788"/>
      <c r="L672" s="1310"/>
      <c r="M672" s="788">
        <f t="shared" si="54"/>
        <v>0</v>
      </c>
      <c r="N672" s="1310"/>
      <c r="O672" s="788">
        <f t="shared" si="55"/>
        <v>0</v>
      </c>
      <c r="P672" s="788">
        <f t="shared" si="56"/>
        <v>0</v>
      </c>
    </row>
    <row r="673" spans="3:16">
      <c r="C673" s="784">
        <f>IF(D616="","-",+C672+1)</f>
        <v>2067</v>
      </c>
      <c r="D673" s="732">
        <f t="shared" si="57"/>
        <v>0</v>
      </c>
      <c r="E673" s="785">
        <f t="shared" si="59"/>
        <v>0</v>
      </c>
      <c r="F673" s="785">
        <f t="shared" si="53"/>
        <v>0</v>
      </c>
      <c r="G673" s="732">
        <f t="shared" si="58"/>
        <v>0</v>
      </c>
      <c r="H673" s="790">
        <f>+J617*G673+E673</f>
        <v>0</v>
      </c>
      <c r="I673" s="791">
        <f>+J618*G673+E673</f>
        <v>0</v>
      </c>
      <c r="J673" s="788">
        <f t="shared" si="60"/>
        <v>0</v>
      </c>
      <c r="K673" s="788"/>
      <c r="L673" s="1310"/>
      <c r="M673" s="788">
        <f t="shared" si="54"/>
        <v>0</v>
      </c>
      <c r="N673" s="1310"/>
      <c r="O673" s="788">
        <f t="shared" si="55"/>
        <v>0</v>
      </c>
      <c r="P673" s="788">
        <f t="shared" si="56"/>
        <v>0</v>
      </c>
    </row>
    <row r="674" spans="3:16">
      <c r="C674" s="784">
        <f>IF(D616="","-",+C673+1)</f>
        <v>2068</v>
      </c>
      <c r="D674" s="732">
        <f t="shared" si="57"/>
        <v>0</v>
      </c>
      <c r="E674" s="785">
        <f t="shared" si="59"/>
        <v>0</v>
      </c>
      <c r="F674" s="785">
        <f t="shared" si="53"/>
        <v>0</v>
      </c>
      <c r="G674" s="732">
        <f t="shared" si="58"/>
        <v>0</v>
      </c>
      <c r="H674" s="790">
        <f>+J617*G674+E674</f>
        <v>0</v>
      </c>
      <c r="I674" s="791">
        <f>+J618*G674+E674</f>
        <v>0</v>
      </c>
      <c r="J674" s="788">
        <f t="shared" si="60"/>
        <v>0</v>
      </c>
      <c r="K674" s="788"/>
      <c r="L674" s="1310"/>
      <c r="M674" s="788">
        <f t="shared" si="54"/>
        <v>0</v>
      </c>
      <c r="N674" s="1310"/>
      <c r="O674" s="788">
        <f t="shared" si="55"/>
        <v>0</v>
      </c>
      <c r="P674" s="788">
        <f t="shared" si="56"/>
        <v>0</v>
      </c>
    </row>
    <row r="675" spans="3:16">
      <c r="C675" s="784">
        <f>IF(D616="","-",+C674+1)</f>
        <v>2069</v>
      </c>
      <c r="D675" s="732">
        <f t="shared" si="57"/>
        <v>0</v>
      </c>
      <c r="E675" s="785">
        <f t="shared" si="59"/>
        <v>0</v>
      </c>
      <c r="F675" s="785">
        <f t="shared" si="53"/>
        <v>0</v>
      </c>
      <c r="G675" s="732">
        <f t="shared" si="58"/>
        <v>0</v>
      </c>
      <c r="H675" s="790">
        <f>+J617*G675+E675</f>
        <v>0</v>
      </c>
      <c r="I675" s="791">
        <f>+J618*G675+E675</f>
        <v>0</v>
      </c>
      <c r="J675" s="788">
        <f t="shared" si="60"/>
        <v>0</v>
      </c>
      <c r="K675" s="788"/>
      <c r="L675" s="1310"/>
      <c r="M675" s="788">
        <f t="shared" si="54"/>
        <v>0</v>
      </c>
      <c r="N675" s="1310"/>
      <c r="O675" s="788">
        <f t="shared" si="55"/>
        <v>0</v>
      </c>
      <c r="P675" s="788">
        <f t="shared" si="56"/>
        <v>0</v>
      </c>
    </row>
    <row r="676" spans="3:16">
      <c r="C676" s="784">
        <f>IF(D616="","-",+C675+1)</f>
        <v>2070</v>
      </c>
      <c r="D676" s="732">
        <f t="shared" ref="D676:D681" si="61">F675</f>
        <v>0</v>
      </c>
      <c r="E676" s="785">
        <f t="shared" si="59"/>
        <v>0</v>
      </c>
      <c r="F676" s="785">
        <f t="shared" si="53"/>
        <v>0</v>
      </c>
      <c r="G676" s="732">
        <f t="shared" si="58"/>
        <v>0</v>
      </c>
      <c r="H676" s="790">
        <f>+J617*G676+E676</f>
        <v>0</v>
      </c>
      <c r="I676" s="791">
        <f>+J618*G676+E676</f>
        <v>0</v>
      </c>
      <c r="J676" s="788">
        <f t="shared" si="60"/>
        <v>0</v>
      </c>
      <c r="K676" s="788"/>
      <c r="L676" s="1310"/>
      <c r="M676" s="788">
        <f t="shared" si="54"/>
        <v>0</v>
      </c>
      <c r="N676" s="1310"/>
      <c r="O676" s="788">
        <f t="shared" si="55"/>
        <v>0</v>
      </c>
      <c r="P676" s="788">
        <f t="shared" si="56"/>
        <v>0</v>
      </c>
    </row>
    <row r="677" spans="3:16">
      <c r="C677" s="784">
        <f>IF(D616="","-",+C676+1)</f>
        <v>2071</v>
      </c>
      <c r="D677" s="732">
        <f t="shared" si="61"/>
        <v>0</v>
      </c>
      <c r="E677" s="785">
        <f t="shared" si="59"/>
        <v>0</v>
      </c>
      <c r="F677" s="785">
        <f t="shared" si="53"/>
        <v>0</v>
      </c>
      <c r="G677" s="732">
        <f t="shared" si="58"/>
        <v>0</v>
      </c>
      <c r="H677" s="790">
        <f>+J617*G677+E677</f>
        <v>0</v>
      </c>
      <c r="I677" s="791">
        <f>+J618*G677+E677</f>
        <v>0</v>
      </c>
      <c r="J677" s="788">
        <f t="shared" si="60"/>
        <v>0</v>
      </c>
      <c r="K677" s="788"/>
      <c r="L677" s="1310"/>
      <c r="M677" s="788">
        <f t="shared" si="54"/>
        <v>0</v>
      </c>
      <c r="N677" s="1310"/>
      <c r="O677" s="788">
        <f t="shared" si="55"/>
        <v>0</v>
      </c>
      <c r="P677" s="788">
        <f t="shared" si="56"/>
        <v>0</v>
      </c>
    </row>
    <row r="678" spans="3:16">
      <c r="C678" s="784">
        <f>IF(D616="","-",+C677+1)</f>
        <v>2072</v>
      </c>
      <c r="D678" s="732">
        <f t="shared" si="61"/>
        <v>0</v>
      </c>
      <c r="E678" s="785">
        <f t="shared" si="59"/>
        <v>0</v>
      </c>
      <c r="F678" s="785">
        <f t="shared" si="53"/>
        <v>0</v>
      </c>
      <c r="G678" s="732">
        <f t="shared" si="58"/>
        <v>0</v>
      </c>
      <c r="H678" s="790">
        <f>+J617*G678+E678</f>
        <v>0</v>
      </c>
      <c r="I678" s="791">
        <f>+J618*G678+E678</f>
        <v>0</v>
      </c>
      <c r="J678" s="788">
        <f t="shared" si="60"/>
        <v>0</v>
      </c>
      <c r="K678" s="788"/>
      <c r="L678" s="1310"/>
      <c r="M678" s="788">
        <f t="shared" si="54"/>
        <v>0</v>
      </c>
      <c r="N678" s="1310"/>
      <c r="O678" s="788">
        <f t="shared" si="55"/>
        <v>0</v>
      </c>
      <c r="P678" s="788">
        <f t="shared" si="56"/>
        <v>0</v>
      </c>
    </row>
    <row r="679" spans="3:16">
      <c r="C679" s="784">
        <f>IF(D616="","-",+C678+1)</f>
        <v>2073</v>
      </c>
      <c r="D679" s="732">
        <f t="shared" si="61"/>
        <v>0</v>
      </c>
      <c r="E679" s="785">
        <f t="shared" si="59"/>
        <v>0</v>
      </c>
      <c r="F679" s="785">
        <f t="shared" si="53"/>
        <v>0</v>
      </c>
      <c r="G679" s="732">
        <f t="shared" si="58"/>
        <v>0</v>
      </c>
      <c r="H679" s="790">
        <f>+J617*G679+E679</f>
        <v>0</v>
      </c>
      <c r="I679" s="791">
        <f>+J618*G679+E679</f>
        <v>0</v>
      </c>
      <c r="J679" s="788">
        <f t="shared" si="60"/>
        <v>0</v>
      </c>
      <c r="K679" s="788"/>
      <c r="L679" s="1310"/>
      <c r="M679" s="788">
        <f t="shared" si="54"/>
        <v>0</v>
      </c>
      <c r="N679" s="1310"/>
      <c r="O679" s="788">
        <f t="shared" si="55"/>
        <v>0</v>
      </c>
      <c r="P679" s="788">
        <f t="shared" si="56"/>
        <v>0</v>
      </c>
    </row>
    <row r="680" spans="3:16">
      <c r="C680" s="784">
        <f>IF(D616="","-",+C679+1)</f>
        <v>2074</v>
      </c>
      <c r="D680" s="732">
        <f t="shared" si="61"/>
        <v>0</v>
      </c>
      <c r="E680" s="785">
        <f t="shared" si="59"/>
        <v>0</v>
      </c>
      <c r="F680" s="785">
        <f t="shared" si="53"/>
        <v>0</v>
      </c>
      <c r="G680" s="732">
        <f t="shared" si="58"/>
        <v>0</v>
      </c>
      <c r="H680" s="790">
        <f>+J617*G680+E680</f>
        <v>0</v>
      </c>
      <c r="I680" s="791">
        <f>+J618*G680+E680</f>
        <v>0</v>
      </c>
      <c r="J680" s="788">
        <f t="shared" si="60"/>
        <v>0</v>
      </c>
      <c r="K680" s="788"/>
      <c r="L680" s="1310"/>
      <c r="M680" s="788">
        <f t="shared" si="54"/>
        <v>0</v>
      </c>
      <c r="N680" s="1310"/>
      <c r="O680" s="788">
        <f t="shared" si="55"/>
        <v>0</v>
      </c>
      <c r="P680" s="788">
        <f t="shared" si="56"/>
        <v>0</v>
      </c>
    </row>
    <row r="681" spans="3:16" ht="13.5" thickBot="1">
      <c r="C681" s="794">
        <f>IF(D616="","-",+C680+1)</f>
        <v>2075</v>
      </c>
      <c r="D681" s="795">
        <f t="shared" si="61"/>
        <v>0</v>
      </c>
      <c r="E681" s="796">
        <f t="shared" si="59"/>
        <v>0</v>
      </c>
      <c r="F681" s="796">
        <f t="shared" si="53"/>
        <v>0</v>
      </c>
      <c r="G681" s="795">
        <f t="shared" si="58"/>
        <v>0</v>
      </c>
      <c r="H681" s="797">
        <f>+J617*G681+E681</f>
        <v>0</v>
      </c>
      <c r="I681" s="797">
        <f>+J618*G681+E681</f>
        <v>0</v>
      </c>
      <c r="J681" s="798">
        <f t="shared" si="60"/>
        <v>0</v>
      </c>
      <c r="K681" s="788"/>
      <c r="L681" s="1311"/>
      <c r="M681" s="798">
        <f t="shared" si="54"/>
        <v>0</v>
      </c>
      <c r="N681" s="1311"/>
      <c r="O681" s="798">
        <f t="shared" si="55"/>
        <v>0</v>
      </c>
      <c r="P681" s="798">
        <f t="shared" si="56"/>
        <v>0</v>
      </c>
    </row>
    <row r="682" spans="3:16">
      <c r="C682" s="732" t="s">
        <v>93</v>
      </c>
      <c r="D682" s="726"/>
      <c r="E682" s="726">
        <f>SUM(E622:E681)</f>
        <v>50142658.399999999</v>
      </c>
      <c r="F682" s="726"/>
      <c r="G682" s="726"/>
      <c r="H682" s="726">
        <f>SUM(H622:H681)</f>
        <v>169022290.62100959</v>
      </c>
      <c r="I682" s="726">
        <f>SUM(I622:I681)</f>
        <v>169022290.62100959</v>
      </c>
      <c r="J682" s="726">
        <f>SUM(J622:J681)</f>
        <v>0</v>
      </c>
      <c r="K682" s="726"/>
      <c r="L682" s="726"/>
      <c r="M682" s="726"/>
      <c r="N682" s="726"/>
      <c r="O682" s="726"/>
    </row>
    <row r="683" spans="3:16">
      <c r="D683" s="534"/>
      <c r="E683" s="313"/>
      <c r="F683" s="313"/>
      <c r="G683" s="313"/>
      <c r="H683" s="313"/>
      <c r="I683" s="704"/>
      <c r="J683" s="704"/>
      <c r="K683" s="726"/>
      <c r="L683" s="704"/>
      <c r="M683" s="704"/>
      <c r="N683" s="704"/>
      <c r="O683" s="704"/>
    </row>
    <row r="684" spans="3:16">
      <c r="C684" s="313" t="s">
        <v>15</v>
      </c>
      <c r="D684" s="534"/>
      <c r="E684" s="313"/>
      <c r="F684" s="313"/>
      <c r="G684" s="313"/>
      <c r="H684" s="313"/>
      <c r="I684" s="704"/>
      <c r="J684" s="704"/>
      <c r="K684" s="726"/>
      <c r="L684" s="704"/>
      <c r="M684" s="704"/>
      <c r="N684" s="704"/>
      <c r="O684" s="704"/>
    </row>
    <row r="685" spans="3:16">
      <c r="C685" s="313"/>
      <c r="D685" s="534"/>
      <c r="E685" s="313"/>
      <c r="F685" s="313"/>
      <c r="G685" s="313"/>
      <c r="H685" s="313"/>
      <c r="I685" s="704"/>
      <c r="J685" s="704"/>
      <c r="K685" s="726"/>
      <c r="L685" s="704"/>
      <c r="M685" s="704"/>
      <c r="N685" s="704"/>
      <c r="O685" s="704"/>
    </row>
    <row r="686" spans="3:16">
      <c r="C686" s="745" t="s">
        <v>16</v>
      </c>
      <c r="D686" s="732"/>
      <c r="E686" s="732"/>
      <c r="F686" s="732"/>
      <c r="G686" s="732"/>
      <c r="H686" s="726"/>
      <c r="I686" s="726"/>
      <c r="J686" s="800"/>
      <c r="K686" s="800"/>
      <c r="L686" s="800"/>
      <c r="M686" s="800"/>
      <c r="N686" s="800"/>
      <c r="O686" s="800"/>
    </row>
    <row r="687" spans="3:16">
      <c r="C687" s="731" t="s">
        <v>273</v>
      </c>
      <c r="D687" s="732"/>
      <c r="E687" s="732"/>
      <c r="F687" s="732"/>
      <c r="G687" s="732"/>
      <c r="H687" s="726"/>
      <c r="I687" s="726"/>
      <c r="J687" s="800"/>
      <c r="K687" s="800"/>
      <c r="L687" s="800"/>
      <c r="M687" s="800"/>
      <c r="N687" s="800"/>
      <c r="O687" s="800"/>
    </row>
    <row r="688" spans="3:16">
      <c r="C688" s="731" t="s">
        <v>94</v>
      </c>
      <c r="D688" s="732"/>
      <c r="E688" s="732"/>
      <c r="F688" s="732"/>
      <c r="G688" s="732"/>
      <c r="H688" s="726"/>
      <c r="I688" s="726"/>
      <c r="J688" s="800"/>
      <c r="K688" s="800"/>
      <c r="L688" s="800"/>
      <c r="M688" s="800"/>
      <c r="N688" s="800"/>
      <c r="O688" s="800"/>
    </row>
    <row r="689" spans="1:17">
      <c r="C689" s="731"/>
      <c r="D689" s="732"/>
      <c r="E689" s="732"/>
      <c r="F689" s="732"/>
      <c r="G689" s="732"/>
      <c r="H689" s="726"/>
      <c r="I689" s="726"/>
      <c r="J689" s="800"/>
      <c r="K689" s="800"/>
      <c r="L689" s="800"/>
      <c r="M689" s="800"/>
      <c r="N689" s="800"/>
      <c r="O689" s="800"/>
    </row>
    <row r="690" spans="1:17" ht="20.25">
      <c r="A690" s="733" t="str">
        <f>""&amp;A610&amp;" Worksheet K -  ATRR TRUE-UP Calculation for PJM Projects Charged to Benefiting Zones"</f>
        <v xml:space="preserve"> Worksheet K -  ATRR TRUE-UP Calculation for PJM Projects Charged to Benefiting Zones</v>
      </c>
      <c r="B690" s="346"/>
      <c r="C690" s="721"/>
      <c r="D690" s="534"/>
      <c r="E690" s="313"/>
      <c r="F690" s="703"/>
      <c r="G690" s="703"/>
      <c r="H690" s="313"/>
      <c r="I690" s="704"/>
      <c r="L690" s="560"/>
      <c r="M690" s="560"/>
      <c r="N690" s="560"/>
      <c r="O690" s="649" t="str">
        <f>"Page "&amp;SUM(Q$8:Q690)&amp;" of "</f>
        <v xml:space="preserve">Page 8 of </v>
      </c>
      <c r="P690" s="650">
        <f>COUNT(Q$8:Q$56657)</f>
        <v>10</v>
      </c>
      <c r="Q690" s="173">
        <v>1</v>
      </c>
    </row>
    <row r="691" spans="1:17">
      <c r="B691" s="346"/>
      <c r="C691" s="313"/>
      <c r="D691" s="534"/>
      <c r="E691" s="313"/>
      <c r="F691" s="313"/>
      <c r="G691" s="313"/>
      <c r="H691" s="313"/>
      <c r="I691" s="704"/>
      <c r="J691" s="313"/>
      <c r="K691" s="423"/>
    </row>
    <row r="692" spans="1:17" ht="18">
      <c r="B692" s="653" t="s">
        <v>474</v>
      </c>
      <c r="C692" s="735" t="s">
        <v>95</v>
      </c>
      <c r="D692" s="534"/>
      <c r="E692" s="313"/>
      <c r="F692" s="313"/>
      <c r="G692" s="313"/>
      <c r="H692" s="313"/>
      <c r="I692" s="704"/>
      <c r="J692" s="704"/>
      <c r="K692" s="726"/>
      <c r="L692" s="704"/>
      <c r="M692" s="704"/>
      <c r="N692" s="704"/>
      <c r="O692" s="704"/>
    </row>
    <row r="693" spans="1:17" ht="18.75">
      <c r="B693" s="653"/>
      <c r="C693" s="652"/>
      <c r="D693" s="534"/>
      <c r="E693" s="313"/>
      <c r="F693" s="313"/>
      <c r="G693" s="313"/>
      <c r="H693" s="313"/>
      <c r="I693" s="704"/>
      <c r="J693" s="704"/>
      <c r="K693" s="726"/>
      <c r="L693" s="704"/>
      <c r="M693" s="704"/>
      <c r="N693" s="704"/>
      <c r="O693" s="704"/>
    </row>
    <row r="694" spans="1:17" ht="18.75">
      <c r="B694" s="653"/>
      <c r="C694" s="652" t="s">
        <v>96</v>
      </c>
      <c r="D694" s="534"/>
      <c r="E694" s="313"/>
      <c r="F694" s="313"/>
      <c r="G694" s="313"/>
      <c r="H694" s="313"/>
      <c r="I694" s="704"/>
      <c r="J694" s="704"/>
      <c r="K694" s="726"/>
      <c r="L694" s="704"/>
      <c r="M694" s="704"/>
      <c r="N694" s="704"/>
      <c r="O694" s="704"/>
    </row>
    <row r="695" spans="1:17" ht="15.75" thickBot="1">
      <c r="C695" s="240"/>
      <c r="D695" s="534"/>
      <c r="E695" s="313"/>
      <c r="F695" s="313"/>
      <c r="G695" s="313"/>
      <c r="H695" s="313"/>
      <c r="I695" s="704"/>
      <c r="J695" s="704"/>
      <c r="K695" s="726"/>
      <c r="L695" s="704"/>
      <c r="M695" s="704"/>
      <c r="N695" s="704"/>
      <c r="O695" s="704"/>
    </row>
    <row r="696" spans="1:17" ht="15.75">
      <c r="C696" s="655" t="s">
        <v>97</v>
      </c>
      <c r="D696" s="534"/>
      <c r="E696" s="313"/>
      <c r="F696" s="313"/>
      <c r="G696" s="313"/>
      <c r="H696" s="802"/>
      <c r="I696" s="313" t="s">
        <v>76</v>
      </c>
      <c r="J696" s="313"/>
      <c r="K696" s="423"/>
      <c r="L696" s="831">
        <f>+J702</f>
        <v>2021</v>
      </c>
      <c r="M696" s="812" t="s">
        <v>54</v>
      </c>
      <c r="N696" s="812" t="s">
        <v>55</v>
      </c>
      <c r="O696" s="813" t="s">
        <v>57</v>
      </c>
    </row>
    <row r="697" spans="1:17" ht="15.75">
      <c r="C697" s="655"/>
      <c r="D697" s="534"/>
      <c r="E697" s="313"/>
      <c r="F697" s="313"/>
      <c r="H697" s="313"/>
      <c r="I697" s="740"/>
      <c r="J697" s="740"/>
      <c r="K697" s="741"/>
      <c r="L697" s="832" t="s">
        <v>245</v>
      </c>
      <c r="M697" s="833">
        <f>VLOOKUP(J702,C709:P768,10)</f>
        <v>7598316.548162899</v>
      </c>
      <c r="N697" s="833">
        <f>VLOOKUP(J702,C709:P768,12)</f>
        <v>7598316.548162899</v>
      </c>
      <c r="O697" s="834">
        <f>+N697-M697</f>
        <v>0</v>
      </c>
    </row>
    <row r="698" spans="1:17" ht="12.95" customHeight="1">
      <c r="C698" s="745" t="s">
        <v>98</v>
      </c>
      <c r="D698" s="1557" t="s">
        <v>824</v>
      </c>
      <c r="E698" s="1557"/>
      <c r="F698" s="1557"/>
      <c r="G698" s="1557"/>
      <c r="H698" s="1557"/>
      <c r="I698" s="1557"/>
      <c r="J698" s="704"/>
      <c r="K698" s="726"/>
      <c r="L698" s="832" t="s">
        <v>246</v>
      </c>
      <c r="M698" s="835">
        <f>VLOOKUP(J702,C709:P768,6)</f>
        <v>7981683.8269892661</v>
      </c>
      <c r="N698" s="835">
        <f>VLOOKUP(J702,C709:P768,7)</f>
        <v>7981683.8269892661</v>
      </c>
      <c r="O698" s="836">
        <f>+N698-M698</f>
        <v>0</v>
      </c>
    </row>
    <row r="699" spans="1:17" ht="13.5" thickBot="1">
      <c r="C699" s="749"/>
      <c r="D699" s="1557"/>
      <c r="E699" s="1557"/>
      <c r="F699" s="1557"/>
      <c r="G699" s="1557"/>
      <c r="H699" s="1557"/>
      <c r="I699" s="1557"/>
      <c r="J699" s="704"/>
      <c r="K699" s="726"/>
      <c r="L699" s="768" t="s">
        <v>247</v>
      </c>
      <c r="M699" s="837">
        <f>+M698-M697</f>
        <v>383367.27882636711</v>
      </c>
      <c r="N699" s="837">
        <f>+N698-N697</f>
        <v>383367.27882636711</v>
      </c>
      <c r="O699" s="838">
        <f>+O698-O697</f>
        <v>0</v>
      </c>
    </row>
    <row r="700" spans="1:17" ht="13.5" thickBot="1">
      <c r="C700" s="752"/>
      <c r="D700" s="753"/>
      <c r="E700" s="751"/>
      <c r="F700" s="751"/>
      <c r="G700" s="751"/>
      <c r="H700" s="751"/>
      <c r="I700" s="751"/>
      <c r="J700" s="751"/>
      <c r="K700" s="754"/>
      <c r="L700" s="751"/>
      <c r="M700" s="751"/>
      <c r="N700" s="751"/>
      <c r="O700" s="751"/>
      <c r="P700" s="346"/>
    </row>
    <row r="701" spans="1:17" ht="13.5" thickBot="1">
      <c r="C701" s="755" t="s">
        <v>99</v>
      </c>
      <c r="D701" s="756"/>
      <c r="E701" s="756"/>
      <c r="F701" s="756"/>
      <c r="G701" s="756"/>
      <c r="H701" s="756"/>
      <c r="I701" s="756"/>
      <c r="J701" s="756"/>
      <c r="K701" s="758"/>
      <c r="P701" s="759"/>
    </row>
    <row r="702" spans="1:17" ht="15">
      <c r="A702" s="1340"/>
      <c r="C702" s="760" t="s">
        <v>77</v>
      </c>
      <c r="D702" s="804">
        <v>62382766.399999999</v>
      </c>
      <c r="E702" s="721" t="s">
        <v>78</v>
      </c>
      <c r="H702" s="761"/>
      <c r="I702" s="761"/>
      <c r="J702" s="762">
        <f>$J$93</f>
        <v>2021</v>
      </c>
      <c r="K702" s="550"/>
      <c r="L702" s="1558" t="s">
        <v>79</v>
      </c>
      <c r="M702" s="1558"/>
      <c r="N702" s="1558"/>
      <c r="O702" s="1558"/>
      <c r="P702" s="423"/>
    </row>
    <row r="703" spans="1:17">
      <c r="C703" s="760" t="s">
        <v>80</v>
      </c>
      <c r="D703" s="1307">
        <v>2016</v>
      </c>
      <c r="E703" s="760" t="s">
        <v>81</v>
      </c>
      <c r="F703" s="761"/>
      <c r="G703" s="761"/>
      <c r="I703" s="173"/>
      <c r="J703" s="806">
        <f>IF(H696="",0,$F$17)</f>
        <v>0</v>
      </c>
      <c r="K703" s="763"/>
      <c r="L703" s="726" t="s">
        <v>287</v>
      </c>
      <c r="P703" s="423"/>
    </row>
    <row r="704" spans="1:17">
      <c r="C704" s="760" t="s">
        <v>82</v>
      </c>
      <c r="D704" s="804">
        <v>12</v>
      </c>
      <c r="E704" s="760" t="s">
        <v>83</v>
      </c>
      <c r="F704" s="761"/>
      <c r="G704" s="761"/>
      <c r="I704" s="173"/>
      <c r="J704" s="764">
        <f>$F$70</f>
        <v>0.11565015966136639</v>
      </c>
      <c r="K704" s="765"/>
      <c r="L704" s="313" t="str">
        <f>"          INPUT TRUE-UP ARR (WITH &amp; WITHOUT INCENTIVES) FROM EACH PRIOR YEAR"</f>
        <v xml:space="preserve">          INPUT TRUE-UP ARR (WITH &amp; WITHOUT INCENTIVES) FROM EACH PRIOR YEAR</v>
      </c>
      <c r="P704" s="423"/>
    </row>
    <row r="705" spans="2:16">
      <c r="C705" s="760" t="s">
        <v>84</v>
      </c>
      <c r="D705" s="766">
        <f>H$79</f>
        <v>39</v>
      </c>
      <c r="E705" s="760" t="s">
        <v>85</v>
      </c>
      <c r="F705" s="761"/>
      <c r="G705" s="761"/>
      <c r="I705" s="173"/>
      <c r="J705" s="764">
        <f>IF(H696="",+J704,$F$69)</f>
        <v>0.11565015966136639</v>
      </c>
      <c r="K705" s="767"/>
      <c r="L705" s="313" t="s">
        <v>167</v>
      </c>
      <c r="M705" s="767"/>
      <c r="N705" s="767"/>
      <c r="O705" s="767"/>
      <c r="P705" s="423"/>
    </row>
    <row r="706" spans="2:16" ht="13.5" thickBot="1">
      <c r="C706" s="760" t="s">
        <v>86</v>
      </c>
      <c r="D706" s="1331" t="s">
        <v>814</v>
      </c>
      <c r="E706" s="768" t="s">
        <v>87</v>
      </c>
      <c r="F706" s="769"/>
      <c r="G706" s="769"/>
      <c r="H706" s="770"/>
      <c r="I706" s="770"/>
      <c r="J706" s="748">
        <f>IF(D702=0,0,D702/D705)</f>
        <v>1599558.1128205128</v>
      </c>
      <c r="K706" s="726"/>
      <c r="L706" s="726" t="s">
        <v>168</v>
      </c>
      <c r="M706" s="726"/>
      <c r="N706" s="726"/>
      <c r="O706" s="726"/>
      <c r="P706" s="423"/>
    </row>
    <row r="707" spans="2:16" ht="38.25">
      <c r="B707" s="841"/>
      <c r="C707" s="771" t="s">
        <v>77</v>
      </c>
      <c r="D707" s="772" t="s">
        <v>88</v>
      </c>
      <c r="E707" s="773" t="s">
        <v>89</v>
      </c>
      <c r="F707" s="772" t="s">
        <v>90</v>
      </c>
      <c r="G707" s="772" t="s">
        <v>248</v>
      </c>
      <c r="H707" s="773" t="s">
        <v>161</v>
      </c>
      <c r="I707" s="774" t="s">
        <v>161</v>
      </c>
      <c r="J707" s="771" t="s">
        <v>100</v>
      </c>
      <c r="K707" s="775"/>
      <c r="L707" s="773" t="s">
        <v>163</v>
      </c>
      <c r="M707" s="773" t="s">
        <v>169</v>
      </c>
      <c r="N707" s="773" t="s">
        <v>163</v>
      </c>
      <c r="O707" s="773" t="s">
        <v>171</v>
      </c>
      <c r="P707" s="773" t="s">
        <v>91</v>
      </c>
    </row>
    <row r="708" spans="2:16" ht="13.5" thickBot="1">
      <c r="C708" s="777" t="s">
        <v>477</v>
      </c>
      <c r="D708" s="778" t="s">
        <v>478</v>
      </c>
      <c r="E708" s="777" t="s">
        <v>371</v>
      </c>
      <c r="F708" s="778" t="s">
        <v>478</v>
      </c>
      <c r="G708" s="778" t="s">
        <v>478</v>
      </c>
      <c r="H708" s="779" t="s">
        <v>103</v>
      </c>
      <c r="I708" s="780" t="s">
        <v>105</v>
      </c>
      <c r="J708" s="781" t="s">
        <v>17</v>
      </c>
      <c r="K708" s="782"/>
      <c r="L708" s="779" t="s">
        <v>92</v>
      </c>
      <c r="M708" s="779" t="s">
        <v>92</v>
      </c>
      <c r="N708" s="779" t="s">
        <v>265</v>
      </c>
      <c r="O708" s="779" t="s">
        <v>265</v>
      </c>
      <c r="P708" s="779" t="s">
        <v>265</v>
      </c>
    </row>
    <row r="709" spans="2:16">
      <c r="C709" s="784">
        <f>IF(D703= "","-",D703)</f>
        <v>2016</v>
      </c>
      <c r="D709" s="732">
        <f>+D702</f>
        <v>62382766.399999999</v>
      </c>
      <c r="E709" s="790">
        <f>+J706/12*(12-D704)</f>
        <v>0</v>
      </c>
      <c r="F709" s="839">
        <f t="shared" ref="F709:F768" si="62">+D709-E709</f>
        <v>62382766.399999999</v>
      </c>
      <c r="G709" s="732">
        <f>+(D709+F709)/2</f>
        <v>62382766.399999999</v>
      </c>
      <c r="H709" s="786">
        <f>+J704*G709+E709</f>
        <v>7214576.8942777226</v>
      </c>
      <c r="I709" s="787">
        <f>+J705*G709+E709</f>
        <v>7214576.8942777226</v>
      </c>
      <c r="J709" s="788">
        <f>+I709-H709</f>
        <v>0</v>
      </c>
      <c r="K709" s="788"/>
      <c r="L709" s="1309">
        <v>5764647</v>
      </c>
      <c r="M709" s="840">
        <f t="shared" ref="M709:M768" si="63">IF(L709&lt;&gt;0,+H709-L709,0)</f>
        <v>1449929.8942777226</v>
      </c>
      <c r="N709" s="1309">
        <v>5764647</v>
      </c>
      <c r="O709" s="840">
        <f t="shared" ref="O709:O768" si="64">IF(N709&lt;&gt;0,+I709-N709,0)</f>
        <v>1449929.8942777226</v>
      </c>
      <c r="P709" s="840">
        <f t="shared" ref="P709:P768" si="65">+O709-M709</f>
        <v>0</v>
      </c>
    </row>
    <row r="710" spans="2:16">
      <c r="C710" s="784">
        <f>IF(D703="","-",+C709+1)</f>
        <v>2017</v>
      </c>
      <c r="D710" s="732">
        <f t="shared" ref="D710:D762" si="66">F709</f>
        <v>62382766.399999999</v>
      </c>
      <c r="E710" s="785">
        <f>IF(D710&gt;$J$706,$J$706,D710)</f>
        <v>1599558.1128205128</v>
      </c>
      <c r="F710" s="785">
        <f t="shared" si="62"/>
        <v>60783208.287179485</v>
      </c>
      <c r="G710" s="732">
        <f t="shared" ref="G710:G768" si="67">+(D710+F710)/2</f>
        <v>61582987.343589738</v>
      </c>
      <c r="H710" s="790">
        <f>+J704*G710+E710</f>
        <v>8721640.4315305725</v>
      </c>
      <c r="I710" s="791">
        <f>+J705*G710+E710</f>
        <v>8721640.4315305725</v>
      </c>
      <c r="J710" s="788">
        <f>+I710-H710</f>
        <v>0</v>
      </c>
      <c r="K710" s="788"/>
      <c r="L710" s="1310">
        <v>7201236</v>
      </c>
      <c r="M710" s="788">
        <f t="shared" si="63"/>
        <v>1520404.4315305725</v>
      </c>
      <c r="N710" s="1310">
        <v>7201236</v>
      </c>
      <c r="O710" s="788">
        <f t="shared" si="64"/>
        <v>1520404.4315305725</v>
      </c>
      <c r="P710" s="788">
        <f t="shared" si="65"/>
        <v>0</v>
      </c>
    </row>
    <row r="711" spans="2:16">
      <c r="C711" s="784">
        <f>IF(D703="","-",+C710+1)</f>
        <v>2018</v>
      </c>
      <c r="D711" s="1402">
        <f t="shared" si="66"/>
        <v>60783208.287179485</v>
      </c>
      <c r="E711" s="785">
        <f t="shared" ref="E711:E768" si="68">IF(D711&gt;$J$706,$J$706,D711)</f>
        <v>1599558.1128205128</v>
      </c>
      <c r="F711" s="785">
        <f t="shared" si="62"/>
        <v>59183650.174358971</v>
      </c>
      <c r="G711" s="732">
        <f t="shared" si="67"/>
        <v>59983429.230769232</v>
      </c>
      <c r="H711" s="790">
        <f>+J704*G711+E711</f>
        <v>8536651.280395247</v>
      </c>
      <c r="I711" s="791">
        <f>+J705*G711+E711</f>
        <v>8536651.280395247</v>
      </c>
      <c r="J711" s="788">
        <f t="shared" ref="J711:J768" si="69">+I711-H711</f>
        <v>0</v>
      </c>
      <c r="K711" s="788"/>
      <c r="L711" s="1310">
        <v>7115546</v>
      </c>
      <c r="M711" s="788">
        <f t="shared" si="63"/>
        <v>1421105.280395247</v>
      </c>
      <c r="N711" s="1310">
        <v>7115546</v>
      </c>
      <c r="O711" s="788">
        <f t="shared" si="64"/>
        <v>1421105.280395247</v>
      </c>
      <c r="P711" s="788">
        <f t="shared" si="65"/>
        <v>0</v>
      </c>
    </row>
    <row r="712" spans="2:16">
      <c r="C712" s="784">
        <f>IF(D703="","-",+C711+1)</f>
        <v>2019</v>
      </c>
      <c r="D712" s="732">
        <f t="shared" si="66"/>
        <v>59183650.174358971</v>
      </c>
      <c r="E712" s="785">
        <f t="shared" si="68"/>
        <v>1599558.1128205128</v>
      </c>
      <c r="F712" s="785">
        <f t="shared" si="62"/>
        <v>57584092.061538458</v>
      </c>
      <c r="G712" s="732">
        <f t="shared" si="67"/>
        <v>58383871.117948711</v>
      </c>
      <c r="H712" s="790">
        <f>+J704*G712+E712</f>
        <v>8351662.1292599188</v>
      </c>
      <c r="I712" s="791">
        <f>+J705*G712+E712</f>
        <v>8351662.1292599188</v>
      </c>
      <c r="J712" s="788">
        <f t="shared" si="69"/>
        <v>0</v>
      </c>
      <c r="K712" s="788"/>
      <c r="L712" s="1310">
        <v>7533264</v>
      </c>
      <c r="M712" s="788">
        <f t="shared" si="63"/>
        <v>818398.12925991882</v>
      </c>
      <c r="N712" s="1310">
        <v>7533264</v>
      </c>
      <c r="O712" s="788">
        <f t="shared" si="64"/>
        <v>818398.12925991882</v>
      </c>
      <c r="P712" s="788">
        <f t="shared" si="65"/>
        <v>0</v>
      </c>
    </row>
    <row r="713" spans="2:16">
      <c r="C713" s="784">
        <f>IF(D703="","-",+C712+1)</f>
        <v>2020</v>
      </c>
      <c r="D713" s="1332">
        <f t="shared" si="66"/>
        <v>57584092.061538458</v>
      </c>
      <c r="E713" s="785">
        <f t="shared" si="68"/>
        <v>1599558.1128205128</v>
      </c>
      <c r="F713" s="785">
        <f t="shared" si="62"/>
        <v>55984533.948717944</v>
      </c>
      <c r="G713" s="732">
        <f t="shared" si="67"/>
        <v>56784313.005128205</v>
      </c>
      <c r="H713" s="790">
        <f>+J704*G713+E713</f>
        <v>8166672.9781245934</v>
      </c>
      <c r="I713" s="791">
        <f>+J705*G713+E713</f>
        <v>8166672.9781245934</v>
      </c>
      <c r="J713" s="788">
        <f t="shared" si="69"/>
        <v>0</v>
      </c>
      <c r="K713" s="788"/>
      <c r="L713" s="1310">
        <v>4004462.7144813207</v>
      </c>
      <c r="M713" s="788">
        <f t="shared" si="63"/>
        <v>4162210.2636432727</v>
      </c>
      <c r="N713" s="1310">
        <v>4004462.7144813207</v>
      </c>
      <c r="O713" s="788">
        <f t="shared" si="64"/>
        <v>4162210.2636432727</v>
      </c>
      <c r="P713" s="788">
        <f t="shared" si="65"/>
        <v>0</v>
      </c>
    </row>
    <row r="714" spans="2:16">
      <c r="C714" s="784">
        <f>IF(D703="","-",+C713+1)</f>
        <v>2021</v>
      </c>
      <c r="D714" s="1332">
        <f t="shared" si="66"/>
        <v>55984533.948717944</v>
      </c>
      <c r="E714" s="785">
        <f t="shared" si="68"/>
        <v>1599558.1128205128</v>
      </c>
      <c r="F714" s="785">
        <f t="shared" si="62"/>
        <v>54384975.835897431</v>
      </c>
      <c r="G714" s="732">
        <f t="shared" si="67"/>
        <v>55184754.892307684</v>
      </c>
      <c r="H714" s="790">
        <f>+J704*G714+E714</f>
        <v>7981683.8269892661</v>
      </c>
      <c r="I714" s="791">
        <f>+J705*G714+E714</f>
        <v>7981683.8269892661</v>
      </c>
      <c r="J714" s="788">
        <f t="shared" si="69"/>
        <v>0</v>
      </c>
      <c r="K714" s="788"/>
      <c r="L714" s="1310">
        <v>7598316.548162899</v>
      </c>
      <c r="M714" s="788">
        <f t="shared" si="63"/>
        <v>383367.27882636711</v>
      </c>
      <c r="N714" s="1310">
        <v>7598316.548162899</v>
      </c>
      <c r="O714" s="788">
        <f t="shared" si="64"/>
        <v>383367.27882636711</v>
      </c>
      <c r="P714" s="788">
        <f t="shared" si="65"/>
        <v>0</v>
      </c>
    </row>
    <row r="715" spans="2:16">
      <c r="C715" s="784">
        <f>IF(D703="","-",+C714+1)</f>
        <v>2022</v>
      </c>
      <c r="D715" s="1332">
        <f t="shared" si="66"/>
        <v>54384975.835897431</v>
      </c>
      <c r="E715" s="785">
        <f t="shared" si="68"/>
        <v>1599558.1128205128</v>
      </c>
      <c r="F715" s="785">
        <f t="shared" si="62"/>
        <v>52785417.723076917</v>
      </c>
      <c r="G715" s="732">
        <f t="shared" si="67"/>
        <v>53585196.779487178</v>
      </c>
      <c r="H715" s="790">
        <f>+J704*G715+E715</f>
        <v>7796694.6758539407</v>
      </c>
      <c r="I715" s="791">
        <f>+J705*G715+E715</f>
        <v>7796694.6758539407</v>
      </c>
      <c r="J715" s="788">
        <f t="shared" si="69"/>
        <v>0</v>
      </c>
      <c r="K715" s="788"/>
      <c r="L715" s="1310">
        <v>0</v>
      </c>
      <c r="M715" s="788">
        <f t="shared" si="63"/>
        <v>0</v>
      </c>
      <c r="N715" s="1310">
        <v>0</v>
      </c>
      <c r="O715" s="788">
        <f t="shared" si="64"/>
        <v>0</v>
      </c>
      <c r="P715" s="788">
        <f t="shared" si="65"/>
        <v>0</v>
      </c>
    </row>
    <row r="716" spans="2:16">
      <c r="C716" s="784">
        <f>IF(D703="","-",+C715+1)</f>
        <v>2023</v>
      </c>
      <c r="D716" s="732">
        <f t="shared" si="66"/>
        <v>52785417.723076917</v>
      </c>
      <c r="E716" s="785">
        <f t="shared" si="68"/>
        <v>1599558.1128205128</v>
      </c>
      <c r="F716" s="785">
        <f t="shared" si="62"/>
        <v>51185859.610256404</v>
      </c>
      <c r="G716" s="732">
        <f t="shared" si="67"/>
        <v>51985638.666666657</v>
      </c>
      <c r="H716" s="790">
        <f>+J704*G716+E716</f>
        <v>7611705.5247186143</v>
      </c>
      <c r="I716" s="791">
        <f>+J705*G716+E716</f>
        <v>7611705.5247186143</v>
      </c>
      <c r="J716" s="788">
        <f t="shared" si="69"/>
        <v>0</v>
      </c>
      <c r="K716" s="788"/>
      <c r="L716" s="1310"/>
      <c r="M716" s="788">
        <f t="shared" si="63"/>
        <v>0</v>
      </c>
      <c r="N716" s="1310"/>
      <c r="O716" s="788">
        <f t="shared" si="64"/>
        <v>0</v>
      </c>
      <c r="P716" s="788">
        <f t="shared" si="65"/>
        <v>0</v>
      </c>
    </row>
    <row r="717" spans="2:16">
      <c r="C717" s="784">
        <f>IF(D703="","-",+C716+1)</f>
        <v>2024</v>
      </c>
      <c r="D717" s="732">
        <f t="shared" si="66"/>
        <v>51185859.610256404</v>
      </c>
      <c r="E717" s="785">
        <f t="shared" si="68"/>
        <v>1599558.1128205128</v>
      </c>
      <c r="F717" s="785">
        <f t="shared" si="62"/>
        <v>49586301.49743589</v>
      </c>
      <c r="G717" s="732">
        <f t="shared" si="67"/>
        <v>50386080.553846151</v>
      </c>
      <c r="H717" s="790">
        <f>+J704*G717+E717</f>
        <v>7426716.3735832889</v>
      </c>
      <c r="I717" s="791">
        <f>+J705*G717+E717</f>
        <v>7426716.3735832889</v>
      </c>
      <c r="J717" s="788">
        <f t="shared" si="69"/>
        <v>0</v>
      </c>
      <c r="K717" s="788"/>
      <c r="L717" s="1310"/>
      <c r="M717" s="788">
        <f t="shared" si="63"/>
        <v>0</v>
      </c>
      <c r="N717" s="1310"/>
      <c r="O717" s="788">
        <f t="shared" si="64"/>
        <v>0</v>
      </c>
      <c r="P717" s="788">
        <f t="shared" si="65"/>
        <v>0</v>
      </c>
    </row>
    <row r="718" spans="2:16">
      <c r="C718" s="784">
        <f>IF(D703="","-",+C717+1)</f>
        <v>2025</v>
      </c>
      <c r="D718" s="732">
        <f t="shared" si="66"/>
        <v>49586301.49743589</v>
      </c>
      <c r="E718" s="785">
        <f t="shared" si="68"/>
        <v>1599558.1128205128</v>
      </c>
      <c r="F718" s="785">
        <f t="shared" si="62"/>
        <v>47986743.384615377</v>
      </c>
      <c r="G718" s="732">
        <f t="shared" si="67"/>
        <v>48786522.44102563</v>
      </c>
      <c r="H718" s="790">
        <f>+J704*G718+E718</f>
        <v>7241727.2224479616</v>
      </c>
      <c r="I718" s="791">
        <f>+J705*G718+E718</f>
        <v>7241727.2224479616</v>
      </c>
      <c r="J718" s="788">
        <f t="shared" si="69"/>
        <v>0</v>
      </c>
      <c r="K718" s="788"/>
      <c r="L718" s="1310"/>
      <c r="M718" s="788">
        <f t="shared" si="63"/>
        <v>0</v>
      </c>
      <c r="N718" s="1310"/>
      <c r="O718" s="788">
        <f t="shared" si="64"/>
        <v>0</v>
      </c>
      <c r="P718" s="788">
        <f t="shared" si="65"/>
        <v>0</v>
      </c>
    </row>
    <row r="719" spans="2:16">
      <c r="C719" s="784">
        <f>IF(D703="","-",+C718+1)</f>
        <v>2026</v>
      </c>
      <c r="D719" s="732">
        <f t="shared" si="66"/>
        <v>47986743.384615377</v>
      </c>
      <c r="E719" s="785">
        <f t="shared" si="68"/>
        <v>1599558.1128205128</v>
      </c>
      <c r="F719" s="785">
        <f t="shared" si="62"/>
        <v>46387185.271794863</v>
      </c>
      <c r="G719" s="732">
        <f t="shared" si="67"/>
        <v>47186964.328205124</v>
      </c>
      <c r="H719" s="790">
        <f>+J704*G719+E719</f>
        <v>7056738.0713126361</v>
      </c>
      <c r="I719" s="791">
        <f>+J705*G719+E719</f>
        <v>7056738.0713126361</v>
      </c>
      <c r="J719" s="788">
        <f t="shared" si="69"/>
        <v>0</v>
      </c>
      <c r="K719" s="788"/>
      <c r="L719" s="1310"/>
      <c r="M719" s="788">
        <f t="shared" si="63"/>
        <v>0</v>
      </c>
      <c r="N719" s="1310"/>
      <c r="O719" s="788">
        <f t="shared" si="64"/>
        <v>0</v>
      </c>
      <c r="P719" s="788">
        <f t="shared" si="65"/>
        <v>0</v>
      </c>
    </row>
    <row r="720" spans="2:16">
      <c r="C720" s="784">
        <f>IF(D703="","-",+C719+1)</f>
        <v>2027</v>
      </c>
      <c r="D720" s="732">
        <f t="shared" si="66"/>
        <v>46387185.271794863</v>
      </c>
      <c r="E720" s="785">
        <f t="shared" si="68"/>
        <v>1599558.1128205128</v>
      </c>
      <c r="F720" s="785">
        <f t="shared" si="62"/>
        <v>44787627.158974349</v>
      </c>
      <c r="G720" s="732">
        <f t="shared" si="67"/>
        <v>45587406.215384603</v>
      </c>
      <c r="H720" s="790">
        <f>+J704*G720+E720</f>
        <v>6871748.9201773088</v>
      </c>
      <c r="I720" s="791">
        <f>+J705*G720+E720</f>
        <v>6871748.9201773088</v>
      </c>
      <c r="J720" s="788">
        <f t="shared" si="69"/>
        <v>0</v>
      </c>
      <c r="K720" s="788"/>
      <c r="L720" s="1310"/>
      <c r="M720" s="788">
        <f t="shared" si="63"/>
        <v>0</v>
      </c>
      <c r="N720" s="1310"/>
      <c r="O720" s="788">
        <f t="shared" si="64"/>
        <v>0</v>
      </c>
      <c r="P720" s="788">
        <f t="shared" si="65"/>
        <v>0</v>
      </c>
    </row>
    <row r="721" spans="3:16">
      <c r="C721" s="784">
        <f>IF(D703="","-",+C720+1)</f>
        <v>2028</v>
      </c>
      <c r="D721" s="732">
        <f t="shared" si="66"/>
        <v>44787627.158974349</v>
      </c>
      <c r="E721" s="785">
        <f t="shared" si="68"/>
        <v>1599558.1128205128</v>
      </c>
      <c r="F721" s="785">
        <f t="shared" si="62"/>
        <v>43188069.046153836</v>
      </c>
      <c r="G721" s="732">
        <f t="shared" si="67"/>
        <v>43987848.102564096</v>
      </c>
      <c r="H721" s="790">
        <f>+J704*G721+E721</f>
        <v>6686759.7690419834</v>
      </c>
      <c r="I721" s="791">
        <f>+J705*G721+E721</f>
        <v>6686759.7690419834</v>
      </c>
      <c r="J721" s="788">
        <f t="shared" si="69"/>
        <v>0</v>
      </c>
      <c r="K721" s="788"/>
      <c r="L721" s="1310"/>
      <c r="M721" s="788">
        <f t="shared" si="63"/>
        <v>0</v>
      </c>
      <c r="N721" s="1310"/>
      <c r="O721" s="788">
        <f t="shared" si="64"/>
        <v>0</v>
      </c>
      <c r="P721" s="788">
        <f t="shared" si="65"/>
        <v>0</v>
      </c>
    </row>
    <row r="722" spans="3:16">
      <c r="C722" s="784">
        <f>IF(D703="","-",+C721+1)</f>
        <v>2029</v>
      </c>
      <c r="D722" s="732">
        <f t="shared" si="66"/>
        <v>43188069.046153836</v>
      </c>
      <c r="E722" s="785">
        <f t="shared" si="68"/>
        <v>1599558.1128205128</v>
      </c>
      <c r="F722" s="785">
        <f t="shared" si="62"/>
        <v>41588510.933333322</v>
      </c>
      <c r="G722" s="732">
        <f t="shared" si="67"/>
        <v>42388289.989743575</v>
      </c>
      <c r="H722" s="790">
        <f>+J704*G722+E722</f>
        <v>6501770.6179066561</v>
      </c>
      <c r="I722" s="791">
        <f>+J705*G722+E722</f>
        <v>6501770.6179066561</v>
      </c>
      <c r="J722" s="788">
        <f t="shared" si="69"/>
        <v>0</v>
      </c>
      <c r="K722" s="788"/>
      <c r="L722" s="1310"/>
      <c r="M722" s="788">
        <f t="shared" si="63"/>
        <v>0</v>
      </c>
      <c r="N722" s="1310"/>
      <c r="O722" s="788">
        <f t="shared" si="64"/>
        <v>0</v>
      </c>
      <c r="P722" s="788">
        <f t="shared" si="65"/>
        <v>0</v>
      </c>
    </row>
    <row r="723" spans="3:16">
      <c r="C723" s="784">
        <f>IF(D703="","-",+C722+1)</f>
        <v>2030</v>
      </c>
      <c r="D723" s="732">
        <f t="shared" si="66"/>
        <v>41588510.933333322</v>
      </c>
      <c r="E723" s="785">
        <f t="shared" si="68"/>
        <v>1599558.1128205128</v>
      </c>
      <c r="F723" s="785">
        <f t="shared" si="62"/>
        <v>39988952.820512809</v>
      </c>
      <c r="G723" s="732">
        <f t="shared" si="67"/>
        <v>40788731.876923069</v>
      </c>
      <c r="H723" s="790">
        <f>+J704*G723+E723</f>
        <v>6316781.4667713307</v>
      </c>
      <c r="I723" s="791">
        <f>+J705*G723+E723</f>
        <v>6316781.4667713307</v>
      </c>
      <c r="J723" s="788">
        <f t="shared" si="69"/>
        <v>0</v>
      </c>
      <c r="K723" s="788"/>
      <c r="L723" s="1310"/>
      <c r="M723" s="788">
        <f t="shared" si="63"/>
        <v>0</v>
      </c>
      <c r="N723" s="1310"/>
      <c r="O723" s="788">
        <f t="shared" si="64"/>
        <v>0</v>
      </c>
      <c r="P723" s="788">
        <f t="shared" si="65"/>
        <v>0</v>
      </c>
    </row>
    <row r="724" spans="3:16">
      <c r="C724" s="784">
        <f>IF(D703="","-",+C723+1)</f>
        <v>2031</v>
      </c>
      <c r="D724" s="732">
        <f t="shared" si="66"/>
        <v>39988952.820512809</v>
      </c>
      <c r="E724" s="785">
        <f t="shared" si="68"/>
        <v>1599558.1128205128</v>
      </c>
      <c r="F724" s="785">
        <f t="shared" si="62"/>
        <v>38389394.707692295</v>
      </c>
      <c r="G724" s="732">
        <f t="shared" si="67"/>
        <v>39189173.764102548</v>
      </c>
      <c r="H724" s="790">
        <f>+J704*G724+E724</f>
        <v>6131792.3156360034</v>
      </c>
      <c r="I724" s="791">
        <f>+J705*G724+E724</f>
        <v>6131792.3156360034</v>
      </c>
      <c r="J724" s="788">
        <f t="shared" si="69"/>
        <v>0</v>
      </c>
      <c r="K724" s="788"/>
      <c r="L724" s="1310"/>
      <c r="M724" s="788">
        <f t="shared" si="63"/>
        <v>0</v>
      </c>
      <c r="N724" s="1310"/>
      <c r="O724" s="788">
        <f t="shared" si="64"/>
        <v>0</v>
      </c>
      <c r="P724" s="788">
        <f t="shared" si="65"/>
        <v>0</v>
      </c>
    </row>
    <row r="725" spans="3:16">
      <c r="C725" s="784">
        <f>IF(D703="","-",+C724+1)</f>
        <v>2032</v>
      </c>
      <c r="D725" s="732">
        <f t="shared" si="66"/>
        <v>38389394.707692295</v>
      </c>
      <c r="E725" s="785">
        <f t="shared" si="68"/>
        <v>1599558.1128205128</v>
      </c>
      <c r="F725" s="785">
        <f t="shared" si="62"/>
        <v>36789836.594871782</v>
      </c>
      <c r="G725" s="732">
        <f t="shared" si="67"/>
        <v>37589615.651282042</v>
      </c>
      <c r="H725" s="790">
        <f>+J704*G725+E725</f>
        <v>5946803.164500678</v>
      </c>
      <c r="I725" s="791">
        <f>+J705*G725+E725</f>
        <v>5946803.164500678</v>
      </c>
      <c r="J725" s="788">
        <f t="shared" si="69"/>
        <v>0</v>
      </c>
      <c r="K725" s="788"/>
      <c r="L725" s="1310"/>
      <c r="M725" s="788">
        <f t="shared" si="63"/>
        <v>0</v>
      </c>
      <c r="N725" s="1310"/>
      <c r="O725" s="788">
        <f t="shared" si="64"/>
        <v>0</v>
      </c>
      <c r="P725" s="788">
        <f t="shared" si="65"/>
        <v>0</v>
      </c>
    </row>
    <row r="726" spans="3:16">
      <c r="C726" s="784">
        <f>IF(D703="","-",+C725+1)</f>
        <v>2033</v>
      </c>
      <c r="D726" s="732">
        <f t="shared" si="66"/>
        <v>36789836.594871782</v>
      </c>
      <c r="E726" s="785">
        <f t="shared" si="68"/>
        <v>1599558.1128205128</v>
      </c>
      <c r="F726" s="785">
        <f t="shared" si="62"/>
        <v>35190278.482051268</v>
      </c>
      <c r="G726" s="732">
        <f t="shared" si="67"/>
        <v>35990057.538461521</v>
      </c>
      <c r="H726" s="790">
        <f>+J704*G726+E726</f>
        <v>5761814.0133653507</v>
      </c>
      <c r="I726" s="791">
        <f>+J705*G726+E726</f>
        <v>5761814.0133653507</v>
      </c>
      <c r="J726" s="788">
        <f t="shared" si="69"/>
        <v>0</v>
      </c>
      <c r="K726" s="788"/>
      <c r="L726" s="1310"/>
      <c r="M726" s="788">
        <f t="shared" si="63"/>
        <v>0</v>
      </c>
      <c r="N726" s="1310"/>
      <c r="O726" s="788">
        <f t="shared" si="64"/>
        <v>0</v>
      </c>
      <c r="P726" s="788">
        <f t="shared" si="65"/>
        <v>0</v>
      </c>
    </row>
    <row r="727" spans="3:16">
      <c r="C727" s="784">
        <f>IF(D703="","-",+C726+1)</f>
        <v>2034</v>
      </c>
      <c r="D727" s="732">
        <f t="shared" si="66"/>
        <v>35190278.482051268</v>
      </c>
      <c r="E727" s="785">
        <f t="shared" si="68"/>
        <v>1599558.1128205128</v>
      </c>
      <c r="F727" s="785">
        <f t="shared" si="62"/>
        <v>33590720.369230755</v>
      </c>
      <c r="G727" s="732">
        <f t="shared" si="67"/>
        <v>34390499.425641015</v>
      </c>
      <c r="H727" s="790">
        <f>+J704*G727+E727</f>
        <v>5576824.8622300252</v>
      </c>
      <c r="I727" s="791">
        <f>+J705*G727+E727</f>
        <v>5576824.8622300252</v>
      </c>
      <c r="J727" s="788">
        <f t="shared" si="69"/>
        <v>0</v>
      </c>
      <c r="K727" s="788"/>
      <c r="L727" s="1310"/>
      <c r="M727" s="788">
        <f t="shared" si="63"/>
        <v>0</v>
      </c>
      <c r="N727" s="1310"/>
      <c r="O727" s="788">
        <f t="shared" si="64"/>
        <v>0</v>
      </c>
      <c r="P727" s="788">
        <f t="shared" si="65"/>
        <v>0</v>
      </c>
    </row>
    <row r="728" spans="3:16">
      <c r="C728" s="784">
        <f>IF(D703="","-",+C727+1)</f>
        <v>2035</v>
      </c>
      <c r="D728" s="732">
        <f t="shared" si="66"/>
        <v>33590720.369230755</v>
      </c>
      <c r="E728" s="785">
        <f t="shared" si="68"/>
        <v>1599558.1128205128</v>
      </c>
      <c r="F728" s="785">
        <f t="shared" si="62"/>
        <v>31991162.256410241</v>
      </c>
      <c r="G728" s="732">
        <f t="shared" si="67"/>
        <v>32790941.312820498</v>
      </c>
      <c r="H728" s="790">
        <f>+J704*G728+E728</f>
        <v>5391835.7110946989</v>
      </c>
      <c r="I728" s="791">
        <f>+J705*G728+E728</f>
        <v>5391835.7110946989</v>
      </c>
      <c r="J728" s="788">
        <f t="shared" si="69"/>
        <v>0</v>
      </c>
      <c r="K728" s="788"/>
      <c r="L728" s="1310"/>
      <c r="M728" s="788">
        <f t="shared" si="63"/>
        <v>0</v>
      </c>
      <c r="N728" s="1310"/>
      <c r="O728" s="788">
        <f t="shared" si="64"/>
        <v>0</v>
      </c>
      <c r="P728" s="788">
        <f t="shared" si="65"/>
        <v>0</v>
      </c>
    </row>
    <row r="729" spans="3:16">
      <c r="C729" s="784">
        <f>IF(D703="","-",+C728+1)</f>
        <v>2036</v>
      </c>
      <c r="D729" s="732">
        <f t="shared" si="66"/>
        <v>31991162.256410241</v>
      </c>
      <c r="E729" s="785">
        <f t="shared" si="68"/>
        <v>1599558.1128205128</v>
      </c>
      <c r="F729" s="785">
        <f t="shared" si="62"/>
        <v>30391604.143589728</v>
      </c>
      <c r="G729" s="732">
        <f t="shared" si="67"/>
        <v>31191383.199999984</v>
      </c>
      <c r="H729" s="790">
        <f>+J704*G729+E729</f>
        <v>5206846.5599593725</v>
      </c>
      <c r="I729" s="791">
        <f>+J705*G729+E729</f>
        <v>5206846.5599593725</v>
      </c>
      <c r="J729" s="788">
        <f t="shared" si="69"/>
        <v>0</v>
      </c>
      <c r="K729" s="788"/>
      <c r="L729" s="1310"/>
      <c r="M729" s="788">
        <f t="shared" si="63"/>
        <v>0</v>
      </c>
      <c r="N729" s="1310"/>
      <c r="O729" s="788">
        <f t="shared" si="64"/>
        <v>0</v>
      </c>
      <c r="P729" s="788">
        <f t="shared" si="65"/>
        <v>0</v>
      </c>
    </row>
    <row r="730" spans="3:16">
      <c r="C730" s="784">
        <f>IF(D703="","-",+C729+1)</f>
        <v>2037</v>
      </c>
      <c r="D730" s="732">
        <f t="shared" si="66"/>
        <v>30391604.143589728</v>
      </c>
      <c r="E730" s="785">
        <f t="shared" si="68"/>
        <v>1599558.1128205128</v>
      </c>
      <c r="F730" s="785">
        <f t="shared" si="62"/>
        <v>28792046.030769214</v>
      </c>
      <c r="G730" s="732">
        <f t="shared" si="67"/>
        <v>29591825.087179471</v>
      </c>
      <c r="H730" s="790">
        <f>+J704*G730+E730</f>
        <v>5021857.4088240461</v>
      </c>
      <c r="I730" s="791">
        <f>+J705*G730+E730</f>
        <v>5021857.4088240461</v>
      </c>
      <c r="J730" s="788">
        <f t="shared" si="69"/>
        <v>0</v>
      </c>
      <c r="K730" s="788"/>
      <c r="L730" s="1310"/>
      <c r="M730" s="788">
        <f t="shared" si="63"/>
        <v>0</v>
      </c>
      <c r="N730" s="1310"/>
      <c r="O730" s="788">
        <f t="shared" si="64"/>
        <v>0</v>
      </c>
      <c r="P730" s="788">
        <f t="shared" si="65"/>
        <v>0</v>
      </c>
    </row>
    <row r="731" spans="3:16">
      <c r="C731" s="784">
        <f>IF(D703="","-",+C730+1)</f>
        <v>2038</v>
      </c>
      <c r="D731" s="732">
        <f t="shared" si="66"/>
        <v>28792046.030769214</v>
      </c>
      <c r="E731" s="785">
        <f t="shared" si="68"/>
        <v>1599558.1128205128</v>
      </c>
      <c r="F731" s="785">
        <f t="shared" si="62"/>
        <v>27192487.9179487</v>
      </c>
      <c r="G731" s="732">
        <f t="shared" si="67"/>
        <v>27992266.974358957</v>
      </c>
      <c r="H731" s="790">
        <f>+J704*G731+E731</f>
        <v>4836868.2576887198</v>
      </c>
      <c r="I731" s="791">
        <f>+J705*G731+E731</f>
        <v>4836868.2576887198</v>
      </c>
      <c r="J731" s="788">
        <f t="shared" si="69"/>
        <v>0</v>
      </c>
      <c r="K731" s="788"/>
      <c r="L731" s="1310"/>
      <c r="M731" s="788">
        <f t="shared" si="63"/>
        <v>0</v>
      </c>
      <c r="N731" s="1310"/>
      <c r="O731" s="788">
        <f t="shared" si="64"/>
        <v>0</v>
      </c>
      <c r="P731" s="788">
        <f t="shared" si="65"/>
        <v>0</v>
      </c>
    </row>
    <row r="732" spans="3:16">
      <c r="C732" s="784">
        <f>IF(D703="","-",+C731+1)</f>
        <v>2039</v>
      </c>
      <c r="D732" s="732">
        <f t="shared" si="66"/>
        <v>27192487.9179487</v>
      </c>
      <c r="E732" s="785">
        <f t="shared" si="68"/>
        <v>1599558.1128205128</v>
      </c>
      <c r="F732" s="785">
        <f t="shared" si="62"/>
        <v>25592929.805128187</v>
      </c>
      <c r="G732" s="732">
        <f t="shared" si="67"/>
        <v>26392708.861538444</v>
      </c>
      <c r="H732" s="790">
        <f>+J704*G732+E732</f>
        <v>4651879.1065533934</v>
      </c>
      <c r="I732" s="791">
        <f>+J705*G732+E732</f>
        <v>4651879.1065533934</v>
      </c>
      <c r="J732" s="788">
        <f t="shared" si="69"/>
        <v>0</v>
      </c>
      <c r="K732" s="788"/>
      <c r="L732" s="1310"/>
      <c r="M732" s="788">
        <f t="shared" si="63"/>
        <v>0</v>
      </c>
      <c r="N732" s="1310"/>
      <c r="O732" s="788">
        <f t="shared" si="64"/>
        <v>0</v>
      </c>
      <c r="P732" s="788">
        <f t="shared" si="65"/>
        <v>0</v>
      </c>
    </row>
    <row r="733" spans="3:16">
      <c r="C733" s="784">
        <f>IF(D703="","-",+C732+1)</f>
        <v>2040</v>
      </c>
      <c r="D733" s="732">
        <f t="shared" si="66"/>
        <v>25592929.805128187</v>
      </c>
      <c r="E733" s="785">
        <f t="shared" si="68"/>
        <v>1599558.1128205128</v>
      </c>
      <c r="F733" s="785">
        <f t="shared" si="62"/>
        <v>23993371.692307673</v>
      </c>
      <c r="G733" s="732">
        <f t="shared" si="67"/>
        <v>24793150.74871793</v>
      </c>
      <c r="H733" s="790">
        <f>+J704*G733+E733</f>
        <v>4466889.9554180671</v>
      </c>
      <c r="I733" s="791">
        <f>+J705*G733+E733</f>
        <v>4466889.9554180671</v>
      </c>
      <c r="J733" s="788">
        <f t="shared" si="69"/>
        <v>0</v>
      </c>
      <c r="K733" s="788"/>
      <c r="L733" s="1310"/>
      <c r="M733" s="788">
        <f t="shared" si="63"/>
        <v>0</v>
      </c>
      <c r="N733" s="1310"/>
      <c r="O733" s="788">
        <f t="shared" si="64"/>
        <v>0</v>
      </c>
      <c r="P733" s="788">
        <f t="shared" si="65"/>
        <v>0</v>
      </c>
    </row>
    <row r="734" spans="3:16">
      <c r="C734" s="784">
        <f>IF(D703="","-",+C733+1)</f>
        <v>2041</v>
      </c>
      <c r="D734" s="732">
        <f t="shared" si="66"/>
        <v>23993371.692307673</v>
      </c>
      <c r="E734" s="785">
        <f t="shared" si="68"/>
        <v>1599558.1128205128</v>
      </c>
      <c r="F734" s="785">
        <f t="shared" si="62"/>
        <v>22393813.57948716</v>
      </c>
      <c r="G734" s="732">
        <f t="shared" si="67"/>
        <v>23193592.635897417</v>
      </c>
      <c r="H734" s="790">
        <f>+J704*G734+E734</f>
        <v>4281900.8042827407</v>
      </c>
      <c r="I734" s="791">
        <f>+J705*G734+E734</f>
        <v>4281900.8042827407</v>
      </c>
      <c r="J734" s="788">
        <f t="shared" si="69"/>
        <v>0</v>
      </c>
      <c r="K734" s="788"/>
      <c r="L734" s="1310"/>
      <c r="M734" s="788">
        <f t="shared" si="63"/>
        <v>0</v>
      </c>
      <c r="N734" s="1310"/>
      <c r="O734" s="788">
        <f t="shared" si="64"/>
        <v>0</v>
      </c>
      <c r="P734" s="788">
        <f t="shared" si="65"/>
        <v>0</v>
      </c>
    </row>
    <row r="735" spans="3:16">
      <c r="C735" s="784">
        <f>IF(D703="","-",+C734+1)</f>
        <v>2042</v>
      </c>
      <c r="D735" s="732">
        <f t="shared" si="66"/>
        <v>22393813.57948716</v>
      </c>
      <c r="E735" s="785">
        <f t="shared" si="68"/>
        <v>1599558.1128205128</v>
      </c>
      <c r="F735" s="785">
        <f t="shared" si="62"/>
        <v>20794255.466666646</v>
      </c>
      <c r="G735" s="732">
        <f t="shared" si="67"/>
        <v>21594034.523076903</v>
      </c>
      <c r="H735" s="790">
        <f>+J704*G735+E735</f>
        <v>4096911.6531474143</v>
      </c>
      <c r="I735" s="791">
        <f>+J705*G735+E735</f>
        <v>4096911.6531474143</v>
      </c>
      <c r="J735" s="788">
        <f t="shared" si="69"/>
        <v>0</v>
      </c>
      <c r="K735" s="788"/>
      <c r="L735" s="1310"/>
      <c r="M735" s="788">
        <f t="shared" si="63"/>
        <v>0</v>
      </c>
      <c r="N735" s="1310"/>
      <c r="O735" s="788">
        <f t="shared" si="64"/>
        <v>0</v>
      </c>
      <c r="P735" s="788">
        <f t="shared" si="65"/>
        <v>0</v>
      </c>
    </row>
    <row r="736" spans="3:16">
      <c r="C736" s="784">
        <f>IF(D703="","-",+C735+1)</f>
        <v>2043</v>
      </c>
      <c r="D736" s="732">
        <f t="shared" si="66"/>
        <v>20794255.466666646</v>
      </c>
      <c r="E736" s="785">
        <f t="shared" si="68"/>
        <v>1599558.1128205128</v>
      </c>
      <c r="F736" s="785">
        <f t="shared" si="62"/>
        <v>19194697.353846133</v>
      </c>
      <c r="G736" s="732">
        <f t="shared" si="67"/>
        <v>19994476.41025639</v>
      </c>
      <c r="H736" s="790">
        <f>+J704*G736+E736</f>
        <v>3911922.502012088</v>
      </c>
      <c r="I736" s="791">
        <f>+J705*G736+E736</f>
        <v>3911922.502012088</v>
      </c>
      <c r="J736" s="788">
        <f t="shared" si="69"/>
        <v>0</v>
      </c>
      <c r="K736" s="788"/>
      <c r="L736" s="1310"/>
      <c r="M736" s="788">
        <f t="shared" si="63"/>
        <v>0</v>
      </c>
      <c r="N736" s="1310"/>
      <c r="O736" s="788">
        <f t="shared" si="64"/>
        <v>0</v>
      </c>
      <c r="P736" s="788">
        <f t="shared" si="65"/>
        <v>0</v>
      </c>
    </row>
    <row r="737" spans="3:16">
      <c r="C737" s="784">
        <f>IF(D703="","-",+C736+1)</f>
        <v>2044</v>
      </c>
      <c r="D737" s="732">
        <f t="shared" si="66"/>
        <v>19194697.353846133</v>
      </c>
      <c r="E737" s="785">
        <f t="shared" si="68"/>
        <v>1599558.1128205128</v>
      </c>
      <c r="F737" s="785">
        <f t="shared" si="62"/>
        <v>17595139.241025619</v>
      </c>
      <c r="G737" s="732">
        <f t="shared" si="67"/>
        <v>18394918.297435876</v>
      </c>
      <c r="H737" s="790">
        <f>+J704*G737+E737</f>
        <v>3726933.3508767616</v>
      </c>
      <c r="I737" s="791">
        <f>+J705*G737+E737</f>
        <v>3726933.3508767616</v>
      </c>
      <c r="J737" s="788">
        <f t="shared" si="69"/>
        <v>0</v>
      </c>
      <c r="K737" s="788"/>
      <c r="L737" s="1310"/>
      <c r="M737" s="788">
        <f t="shared" si="63"/>
        <v>0</v>
      </c>
      <c r="N737" s="1310"/>
      <c r="O737" s="788">
        <f t="shared" si="64"/>
        <v>0</v>
      </c>
      <c r="P737" s="788">
        <f t="shared" si="65"/>
        <v>0</v>
      </c>
    </row>
    <row r="738" spans="3:16">
      <c r="C738" s="784">
        <f>IF(D703="","-",+C737+1)</f>
        <v>2045</v>
      </c>
      <c r="D738" s="732">
        <f t="shared" si="66"/>
        <v>17595139.241025619</v>
      </c>
      <c r="E738" s="785">
        <f t="shared" si="68"/>
        <v>1599558.1128205128</v>
      </c>
      <c r="F738" s="785">
        <f t="shared" si="62"/>
        <v>15995581.128205106</v>
      </c>
      <c r="G738" s="732">
        <f t="shared" si="67"/>
        <v>16795360.184615362</v>
      </c>
      <c r="H738" s="790">
        <f>+J704*G738+E738</f>
        <v>3541944.1997414357</v>
      </c>
      <c r="I738" s="791">
        <f>+J705*G738+E738</f>
        <v>3541944.1997414357</v>
      </c>
      <c r="J738" s="788">
        <f t="shared" si="69"/>
        <v>0</v>
      </c>
      <c r="K738" s="788"/>
      <c r="L738" s="1310"/>
      <c r="M738" s="788">
        <f t="shared" si="63"/>
        <v>0</v>
      </c>
      <c r="N738" s="1310"/>
      <c r="O738" s="788">
        <f t="shared" si="64"/>
        <v>0</v>
      </c>
      <c r="P738" s="788">
        <f t="shared" si="65"/>
        <v>0</v>
      </c>
    </row>
    <row r="739" spans="3:16">
      <c r="C739" s="784">
        <f>IF(D703="","-",+C738+1)</f>
        <v>2046</v>
      </c>
      <c r="D739" s="732">
        <f t="shared" si="66"/>
        <v>15995581.128205106</v>
      </c>
      <c r="E739" s="785">
        <f t="shared" si="68"/>
        <v>1599558.1128205128</v>
      </c>
      <c r="F739" s="785">
        <f t="shared" si="62"/>
        <v>14396023.015384592</v>
      </c>
      <c r="G739" s="732">
        <f t="shared" si="67"/>
        <v>15195802.071794849</v>
      </c>
      <c r="H739" s="790">
        <f>+J704*G739+E739</f>
        <v>3356955.0486061093</v>
      </c>
      <c r="I739" s="791">
        <f>+J705*G739+E739</f>
        <v>3356955.0486061093</v>
      </c>
      <c r="J739" s="788">
        <f t="shared" si="69"/>
        <v>0</v>
      </c>
      <c r="K739" s="788"/>
      <c r="L739" s="1310"/>
      <c r="M739" s="788">
        <f t="shared" si="63"/>
        <v>0</v>
      </c>
      <c r="N739" s="1310"/>
      <c r="O739" s="788">
        <f t="shared" si="64"/>
        <v>0</v>
      </c>
      <c r="P739" s="788">
        <f t="shared" si="65"/>
        <v>0</v>
      </c>
    </row>
    <row r="740" spans="3:16">
      <c r="C740" s="784">
        <f>IF(D703="","-",+C739+1)</f>
        <v>2047</v>
      </c>
      <c r="D740" s="732">
        <f t="shared" si="66"/>
        <v>14396023.015384592</v>
      </c>
      <c r="E740" s="785">
        <f t="shared" si="68"/>
        <v>1599558.1128205128</v>
      </c>
      <c r="F740" s="785">
        <f t="shared" si="62"/>
        <v>12796464.902564079</v>
      </c>
      <c r="G740" s="732">
        <f t="shared" si="67"/>
        <v>13596243.958974335</v>
      </c>
      <c r="H740" s="790">
        <f>+J704*G740+E740</f>
        <v>3171965.897470783</v>
      </c>
      <c r="I740" s="791">
        <f>+J705*G740+E740</f>
        <v>3171965.897470783</v>
      </c>
      <c r="J740" s="788">
        <f t="shared" si="69"/>
        <v>0</v>
      </c>
      <c r="K740" s="788"/>
      <c r="L740" s="1310"/>
      <c r="M740" s="788">
        <f t="shared" si="63"/>
        <v>0</v>
      </c>
      <c r="N740" s="1310"/>
      <c r="O740" s="788">
        <f t="shared" si="64"/>
        <v>0</v>
      </c>
      <c r="P740" s="788">
        <f t="shared" si="65"/>
        <v>0</v>
      </c>
    </row>
    <row r="741" spans="3:16">
      <c r="C741" s="784">
        <f>IF(D703="","-",+C740+1)</f>
        <v>2048</v>
      </c>
      <c r="D741" s="732">
        <f t="shared" si="66"/>
        <v>12796464.902564079</v>
      </c>
      <c r="E741" s="785">
        <f t="shared" si="68"/>
        <v>1599558.1128205128</v>
      </c>
      <c r="F741" s="785">
        <f t="shared" si="62"/>
        <v>11196906.789743565</v>
      </c>
      <c r="G741" s="732">
        <f t="shared" si="67"/>
        <v>11996685.846153822</v>
      </c>
      <c r="H741" s="790">
        <f>+J704*G741+E741</f>
        <v>2986976.7463354571</v>
      </c>
      <c r="I741" s="791">
        <f>+J705*G741+E741</f>
        <v>2986976.7463354571</v>
      </c>
      <c r="J741" s="788">
        <f t="shared" si="69"/>
        <v>0</v>
      </c>
      <c r="K741" s="788"/>
      <c r="L741" s="1310"/>
      <c r="M741" s="788">
        <f t="shared" si="63"/>
        <v>0</v>
      </c>
      <c r="N741" s="1310"/>
      <c r="O741" s="788">
        <f t="shared" si="64"/>
        <v>0</v>
      </c>
      <c r="P741" s="788">
        <f t="shared" si="65"/>
        <v>0</v>
      </c>
    </row>
    <row r="742" spans="3:16">
      <c r="C742" s="784">
        <f>IF(D703="","-",+C741+1)</f>
        <v>2049</v>
      </c>
      <c r="D742" s="732">
        <f t="shared" si="66"/>
        <v>11196906.789743565</v>
      </c>
      <c r="E742" s="785">
        <f t="shared" si="68"/>
        <v>1599558.1128205128</v>
      </c>
      <c r="F742" s="785">
        <f t="shared" si="62"/>
        <v>9597348.6769230515</v>
      </c>
      <c r="G742" s="732">
        <f t="shared" si="67"/>
        <v>10397127.733333308</v>
      </c>
      <c r="H742" s="790">
        <f>+J704*G742+E742</f>
        <v>2801987.5952001307</v>
      </c>
      <c r="I742" s="791">
        <f>+J705*G742+E742</f>
        <v>2801987.5952001307</v>
      </c>
      <c r="J742" s="788">
        <f t="shared" si="69"/>
        <v>0</v>
      </c>
      <c r="K742" s="788"/>
      <c r="L742" s="1310"/>
      <c r="M742" s="788">
        <f t="shared" si="63"/>
        <v>0</v>
      </c>
      <c r="N742" s="1310"/>
      <c r="O742" s="788">
        <f t="shared" si="64"/>
        <v>0</v>
      </c>
      <c r="P742" s="788">
        <f t="shared" si="65"/>
        <v>0</v>
      </c>
    </row>
    <row r="743" spans="3:16">
      <c r="C743" s="784">
        <f>IF(D703="","-",+C742+1)</f>
        <v>2050</v>
      </c>
      <c r="D743" s="732">
        <f t="shared" si="66"/>
        <v>9597348.6769230515</v>
      </c>
      <c r="E743" s="785">
        <f t="shared" si="68"/>
        <v>1599558.1128205128</v>
      </c>
      <c r="F743" s="785">
        <f t="shared" si="62"/>
        <v>7997790.5641025389</v>
      </c>
      <c r="G743" s="732">
        <f t="shared" si="67"/>
        <v>8797569.6205127947</v>
      </c>
      <c r="H743" s="790">
        <f>+J704*G743+E743</f>
        <v>2616998.4440648044</v>
      </c>
      <c r="I743" s="791">
        <f>+J705*G743+E743</f>
        <v>2616998.4440648044</v>
      </c>
      <c r="J743" s="788">
        <f t="shared" si="69"/>
        <v>0</v>
      </c>
      <c r="K743" s="788"/>
      <c r="L743" s="1310"/>
      <c r="M743" s="788">
        <f t="shared" si="63"/>
        <v>0</v>
      </c>
      <c r="N743" s="1310"/>
      <c r="O743" s="788">
        <f t="shared" si="64"/>
        <v>0</v>
      </c>
      <c r="P743" s="788">
        <f t="shared" si="65"/>
        <v>0</v>
      </c>
    </row>
    <row r="744" spans="3:16">
      <c r="C744" s="784">
        <f>IF(D703="","-",+C743+1)</f>
        <v>2051</v>
      </c>
      <c r="D744" s="732">
        <f t="shared" si="66"/>
        <v>7997790.5641025389</v>
      </c>
      <c r="E744" s="785">
        <f t="shared" si="68"/>
        <v>1599558.1128205128</v>
      </c>
      <c r="F744" s="785">
        <f t="shared" si="62"/>
        <v>6398232.4512820262</v>
      </c>
      <c r="G744" s="732">
        <f t="shared" si="67"/>
        <v>7198011.507692283</v>
      </c>
      <c r="H744" s="790">
        <f>+J704*G744+E744</f>
        <v>2432009.292929478</v>
      </c>
      <c r="I744" s="791">
        <f>+J705*G744+E744</f>
        <v>2432009.292929478</v>
      </c>
      <c r="J744" s="788">
        <f t="shared" si="69"/>
        <v>0</v>
      </c>
      <c r="K744" s="788"/>
      <c r="L744" s="1310"/>
      <c r="M744" s="788">
        <f t="shared" si="63"/>
        <v>0</v>
      </c>
      <c r="N744" s="1310"/>
      <c r="O744" s="788">
        <f t="shared" si="64"/>
        <v>0</v>
      </c>
      <c r="P744" s="788">
        <f t="shared" si="65"/>
        <v>0</v>
      </c>
    </row>
    <row r="745" spans="3:16">
      <c r="C745" s="784">
        <f>IF(D703="","-",+C744+1)</f>
        <v>2052</v>
      </c>
      <c r="D745" s="732">
        <f t="shared" si="66"/>
        <v>6398232.4512820262</v>
      </c>
      <c r="E745" s="785">
        <f t="shared" si="68"/>
        <v>1599558.1128205128</v>
      </c>
      <c r="F745" s="785">
        <f t="shared" si="62"/>
        <v>4798674.3384615136</v>
      </c>
      <c r="G745" s="732">
        <f t="shared" si="67"/>
        <v>5598453.3948717695</v>
      </c>
      <c r="H745" s="790">
        <f>+J704*G745+E745</f>
        <v>2247020.1417941516</v>
      </c>
      <c r="I745" s="791">
        <f>+J705*G745+E745</f>
        <v>2247020.1417941516</v>
      </c>
      <c r="J745" s="788">
        <f t="shared" si="69"/>
        <v>0</v>
      </c>
      <c r="K745" s="788"/>
      <c r="L745" s="1310"/>
      <c r="M745" s="788">
        <f t="shared" si="63"/>
        <v>0</v>
      </c>
      <c r="N745" s="1310"/>
      <c r="O745" s="788">
        <f t="shared" si="64"/>
        <v>0</v>
      </c>
      <c r="P745" s="788">
        <f t="shared" si="65"/>
        <v>0</v>
      </c>
    </row>
    <row r="746" spans="3:16">
      <c r="C746" s="784">
        <f>IF(D703="","-",+C745+1)</f>
        <v>2053</v>
      </c>
      <c r="D746" s="732">
        <f t="shared" si="66"/>
        <v>4798674.3384615136</v>
      </c>
      <c r="E746" s="785">
        <f t="shared" si="68"/>
        <v>1599558.1128205128</v>
      </c>
      <c r="F746" s="785">
        <f t="shared" si="62"/>
        <v>3199116.225641001</v>
      </c>
      <c r="G746" s="732">
        <f t="shared" si="67"/>
        <v>3998895.2820512573</v>
      </c>
      <c r="H746" s="790">
        <f>+J704*G746+E746</f>
        <v>2062030.9906588255</v>
      </c>
      <c r="I746" s="791">
        <f>+J705*G746+E746</f>
        <v>2062030.9906588255</v>
      </c>
      <c r="J746" s="788">
        <f t="shared" si="69"/>
        <v>0</v>
      </c>
      <c r="K746" s="788"/>
      <c r="L746" s="1310"/>
      <c r="M746" s="788">
        <f t="shared" si="63"/>
        <v>0</v>
      </c>
      <c r="N746" s="1310"/>
      <c r="O746" s="788">
        <f t="shared" si="64"/>
        <v>0</v>
      </c>
      <c r="P746" s="788">
        <f t="shared" si="65"/>
        <v>0</v>
      </c>
    </row>
    <row r="747" spans="3:16">
      <c r="C747" s="784">
        <f>IF(D703="","-",+C746+1)</f>
        <v>2054</v>
      </c>
      <c r="D747" s="732">
        <f t="shared" si="66"/>
        <v>3199116.225641001</v>
      </c>
      <c r="E747" s="785">
        <f t="shared" si="68"/>
        <v>1599558.1128205128</v>
      </c>
      <c r="F747" s="785">
        <f t="shared" si="62"/>
        <v>1599558.1128204882</v>
      </c>
      <c r="G747" s="732">
        <f t="shared" si="67"/>
        <v>2399337.1692307447</v>
      </c>
      <c r="H747" s="790">
        <f>+J704*G747+E747</f>
        <v>1877041.8395234994</v>
      </c>
      <c r="I747" s="791">
        <f>+J705*G747+E747</f>
        <v>1877041.8395234994</v>
      </c>
      <c r="J747" s="788">
        <f t="shared" si="69"/>
        <v>0</v>
      </c>
      <c r="K747" s="788"/>
      <c r="L747" s="1310"/>
      <c r="M747" s="788">
        <f t="shared" si="63"/>
        <v>0</v>
      </c>
      <c r="N747" s="1310"/>
      <c r="O747" s="788">
        <f t="shared" si="64"/>
        <v>0</v>
      </c>
      <c r="P747" s="788">
        <f t="shared" si="65"/>
        <v>0</v>
      </c>
    </row>
    <row r="748" spans="3:16">
      <c r="C748" s="784">
        <f>IF(D703="","-",+C747+1)</f>
        <v>2055</v>
      </c>
      <c r="D748" s="732">
        <f t="shared" si="66"/>
        <v>1599558.1128204882</v>
      </c>
      <c r="E748" s="785">
        <f t="shared" si="68"/>
        <v>1599558.1128204882</v>
      </c>
      <c r="F748" s="785">
        <f t="shared" si="62"/>
        <v>0</v>
      </c>
      <c r="G748" s="732">
        <f t="shared" si="67"/>
        <v>799779.05641024408</v>
      </c>
      <c r="H748" s="790">
        <f>+J704*G748+E748</f>
        <v>1692052.68838815</v>
      </c>
      <c r="I748" s="791">
        <f>+J705*G748+E748</f>
        <v>1692052.68838815</v>
      </c>
      <c r="J748" s="788">
        <f t="shared" si="69"/>
        <v>0</v>
      </c>
      <c r="K748" s="788"/>
      <c r="L748" s="1310"/>
      <c r="M748" s="788">
        <f t="shared" si="63"/>
        <v>0</v>
      </c>
      <c r="N748" s="1310"/>
      <c r="O748" s="788">
        <f t="shared" si="64"/>
        <v>0</v>
      </c>
      <c r="P748" s="788">
        <f t="shared" si="65"/>
        <v>0</v>
      </c>
    </row>
    <row r="749" spans="3:16">
      <c r="C749" s="784">
        <f>IF(D703="","-",+C748+1)</f>
        <v>2056</v>
      </c>
      <c r="D749" s="732">
        <f t="shared" si="66"/>
        <v>0</v>
      </c>
      <c r="E749" s="785">
        <f t="shared" si="68"/>
        <v>0</v>
      </c>
      <c r="F749" s="785">
        <f t="shared" si="62"/>
        <v>0</v>
      </c>
      <c r="G749" s="732">
        <f t="shared" si="67"/>
        <v>0</v>
      </c>
      <c r="H749" s="790">
        <f>+J704*G749+E749</f>
        <v>0</v>
      </c>
      <c r="I749" s="791">
        <f>+J705*G749+E749</f>
        <v>0</v>
      </c>
      <c r="J749" s="788">
        <f t="shared" si="69"/>
        <v>0</v>
      </c>
      <c r="K749" s="788"/>
      <c r="L749" s="1310"/>
      <c r="M749" s="788">
        <f t="shared" si="63"/>
        <v>0</v>
      </c>
      <c r="N749" s="1310"/>
      <c r="O749" s="788">
        <f t="shared" si="64"/>
        <v>0</v>
      </c>
      <c r="P749" s="788">
        <f t="shared" si="65"/>
        <v>0</v>
      </c>
    </row>
    <row r="750" spans="3:16">
      <c r="C750" s="784">
        <f>IF(D703="","-",+C749+1)</f>
        <v>2057</v>
      </c>
      <c r="D750" s="732">
        <f t="shared" si="66"/>
        <v>0</v>
      </c>
      <c r="E750" s="785">
        <f t="shared" si="68"/>
        <v>0</v>
      </c>
      <c r="F750" s="785">
        <f t="shared" si="62"/>
        <v>0</v>
      </c>
      <c r="G750" s="732">
        <f t="shared" si="67"/>
        <v>0</v>
      </c>
      <c r="H750" s="790">
        <f>+J704*G750+E750</f>
        <v>0</v>
      </c>
      <c r="I750" s="791">
        <f>+J705*G750+E750</f>
        <v>0</v>
      </c>
      <c r="J750" s="788">
        <f t="shared" si="69"/>
        <v>0</v>
      </c>
      <c r="K750" s="788"/>
      <c r="L750" s="1310"/>
      <c r="M750" s="788">
        <f t="shared" si="63"/>
        <v>0</v>
      </c>
      <c r="N750" s="1310"/>
      <c r="O750" s="788">
        <f t="shared" si="64"/>
        <v>0</v>
      </c>
      <c r="P750" s="788">
        <f t="shared" si="65"/>
        <v>0</v>
      </c>
    </row>
    <row r="751" spans="3:16">
      <c r="C751" s="784">
        <f>IF(D703="","-",+C750+1)</f>
        <v>2058</v>
      </c>
      <c r="D751" s="732">
        <f t="shared" si="66"/>
        <v>0</v>
      </c>
      <c r="E751" s="785">
        <f t="shared" si="68"/>
        <v>0</v>
      </c>
      <c r="F751" s="785">
        <f t="shared" si="62"/>
        <v>0</v>
      </c>
      <c r="G751" s="732">
        <f t="shared" si="67"/>
        <v>0</v>
      </c>
      <c r="H751" s="790">
        <f>+J704*G751+E751</f>
        <v>0</v>
      </c>
      <c r="I751" s="791">
        <f>+J705*G751+E751</f>
        <v>0</v>
      </c>
      <c r="J751" s="788">
        <f t="shared" si="69"/>
        <v>0</v>
      </c>
      <c r="K751" s="788"/>
      <c r="L751" s="1310"/>
      <c r="M751" s="788">
        <f t="shared" si="63"/>
        <v>0</v>
      </c>
      <c r="N751" s="1310"/>
      <c r="O751" s="788">
        <f t="shared" si="64"/>
        <v>0</v>
      </c>
      <c r="P751" s="788">
        <f t="shared" si="65"/>
        <v>0</v>
      </c>
    </row>
    <row r="752" spans="3:16">
      <c r="C752" s="784">
        <f>IF(D703="","-",+C751+1)</f>
        <v>2059</v>
      </c>
      <c r="D752" s="732">
        <f t="shared" si="66"/>
        <v>0</v>
      </c>
      <c r="E752" s="785">
        <f t="shared" si="68"/>
        <v>0</v>
      </c>
      <c r="F752" s="785">
        <f t="shared" si="62"/>
        <v>0</v>
      </c>
      <c r="G752" s="732">
        <f t="shared" si="67"/>
        <v>0</v>
      </c>
      <c r="H752" s="790">
        <f>+J704*G752+E752</f>
        <v>0</v>
      </c>
      <c r="I752" s="791">
        <f>+J705*G752+E752</f>
        <v>0</v>
      </c>
      <c r="J752" s="788">
        <f t="shared" si="69"/>
        <v>0</v>
      </c>
      <c r="K752" s="788"/>
      <c r="L752" s="1310"/>
      <c r="M752" s="788">
        <f t="shared" si="63"/>
        <v>0</v>
      </c>
      <c r="N752" s="1310"/>
      <c r="O752" s="788">
        <f t="shared" si="64"/>
        <v>0</v>
      </c>
      <c r="P752" s="788">
        <f t="shared" si="65"/>
        <v>0</v>
      </c>
    </row>
    <row r="753" spans="3:16">
      <c r="C753" s="784">
        <f>IF(D703="","-",+C752+1)</f>
        <v>2060</v>
      </c>
      <c r="D753" s="732">
        <f t="shared" si="66"/>
        <v>0</v>
      </c>
      <c r="E753" s="785">
        <f t="shared" si="68"/>
        <v>0</v>
      </c>
      <c r="F753" s="785">
        <f t="shared" si="62"/>
        <v>0</v>
      </c>
      <c r="G753" s="732">
        <f t="shared" si="67"/>
        <v>0</v>
      </c>
      <c r="H753" s="790">
        <f>+J704*G753+E753</f>
        <v>0</v>
      </c>
      <c r="I753" s="791">
        <f>+J705*G753+E753</f>
        <v>0</v>
      </c>
      <c r="J753" s="788">
        <f t="shared" si="69"/>
        <v>0</v>
      </c>
      <c r="K753" s="788"/>
      <c r="L753" s="1310"/>
      <c r="M753" s="788">
        <f t="shared" si="63"/>
        <v>0</v>
      </c>
      <c r="N753" s="1310"/>
      <c r="O753" s="788">
        <f t="shared" si="64"/>
        <v>0</v>
      </c>
      <c r="P753" s="788">
        <f t="shared" si="65"/>
        <v>0</v>
      </c>
    </row>
    <row r="754" spans="3:16">
      <c r="C754" s="784">
        <f>IF(D703="","-",+C753+1)</f>
        <v>2061</v>
      </c>
      <c r="D754" s="732">
        <f t="shared" si="66"/>
        <v>0</v>
      </c>
      <c r="E754" s="785">
        <f t="shared" si="68"/>
        <v>0</v>
      </c>
      <c r="F754" s="785">
        <f t="shared" si="62"/>
        <v>0</v>
      </c>
      <c r="G754" s="732">
        <f t="shared" si="67"/>
        <v>0</v>
      </c>
      <c r="H754" s="790">
        <f>+J704*G754+E754</f>
        <v>0</v>
      </c>
      <c r="I754" s="791">
        <f>+J705*G754+E754</f>
        <v>0</v>
      </c>
      <c r="J754" s="788">
        <f t="shared" si="69"/>
        <v>0</v>
      </c>
      <c r="K754" s="788"/>
      <c r="L754" s="1310"/>
      <c r="M754" s="788">
        <f t="shared" si="63"/>
        <v>0</v>
      </c>
      <c r="N754" s="1310"/>
      <c r="O754" s="788">
        <f t="shared" si="64"/>
        <v>0</v>
      </c>
      <c r="P754" s="788">
        <f t="shared" si="65"/>
        <v>0</v>
      </c>
    </row>
    <row r="755" spans="3:16">
      <c r="C755" s="784">
        <f>IF(D703="","-",+C754+1)</f>
        <v>2062</v>
      </c>
      <c r="D755" s="732">
        <f t="shared" si="66"/>
        <v>0</v>
      </c>
      <c r="E755" s="785">
        <f t="shared" si="68"/>
        <v>0</v>
      </c>
      <c r="F755" s="785">
        <f t="shared" si="62"/>
        <v>0</v>
      </c>
      <c r="G755" s="732">
        <f t="shared" si="67"/>
        <v>0</v>
      </c>
      <c r="H755" s="790">
        <f>+J704*G755+E755</f>
        <v>0</v>
      </c>
      <c r="I755" s="791">
        <f>+J705*G755+E755</f>
        <v>0</v>
      </c>
      <c r="J755" s="788">
        <f t="shared" si="69"/>
        <v>0</v>
      </c>
      <c r="K755" s="788"/>
      <c r="L755" s="1310"/>
      <c r="M755" s="788">
        <f t="shared" si="63"/>
        <v>0</v>
      </c>
      <c r="N755" s="1310"/>
      <c r="O755" s="788">
        <f t="shared" si="64"/>
        <v>0</v>
      </c>
      <c r="P755" s="788">
        <f t="shared" si="65"/>
        <v>0</v>
      </c>
    </row>
    <row r="756" spans="3:16">
      <c r="C756" s="784">
        <f>IF(D703="","-",+C755+1)</f>
        <v>2063</v>
      </c>
      <c r="D756" s="732">
        <f t="shared" si="66"/>
        <v>0</v>
      </c>
      <c r="E756" s="785">
        <f t="shared" si="68"/>
        <v>0</v>
      </c>
      <c r="F756" s="785">
        <f t="shared" si="62"/>
        <v>0</v>
      </c>
      <c r="G756" s="732">
        <f t="shared" si="67"/>
        <v>0</v>
      </c>
      <c r="H756" s="790">
        <f>+J704*G756+E756</f>
        <v>0</v>
      </c>
      <c r="I756" s="791">
        <f>+J705*G756+E756</f>
        <v>0</v>
      </c>
      <c r="J756" s="788">
        <f t="shared" si="69"/>
        <v>0</v>
      </c>
      <c r="K756" s="788"/>
      <c r="L756" s="1310"/>
      <c r="M756" s="788">
        <f t="shared" si="63"/>
        <v>0</v>
      </c>
      <c r="N756" s="1310"/>
      <c r="O756" s="788">
        <f t="shared" si="64"/>
        <v>0</v>
      </c>
      <c r="P756" s="788">
        <f t="shared" si="65"/>
        <v>0</v>
      </c>
    </row>
    <row r="757" spans="3:16">
      <c r="C757" s="784">
        <f>IF(D703="","-",+C756+1)</f>
        <v>2064</v>
      </c>
      <c r="D757" s="732">
        <f t="shared" si="66"/>
        <v>0</v>
      </c>
      <c r="E757" s="785">
        <f t="shared" si="68"/>
        <v>0</v>
      </c>
      <c r="F757" s="785">
        <f t="shared" si="62"/>
        <v>0</v>
      </c>
      <c r="G757" s="732">
        <f t="shared" si="67"/>
        <v>0</v>
      </c>
      <c r="H757" s="790">
        <f>+J704*G757+E757</f>
        <v>0</v>
      </c>
      <c r="I757" s="791">
        <f>+J705*G757+E757</f>
        <v>0</v>
      </c>
      <c r="J757" s="788">
        <f t="shared" si="69"/>
        <v>0</v>
      </c>
      <c r="K757" s="788"/>
      <c r="L757" s="1310"/>
      <c r="M757" s="788">
        <f t="shared" si="63"/>
        <v>0</v>
      </c>
      <c r="N757" s="1310"/>
      <c r="O757" s="788">
        <f t="shared" si="64"/>
        <v>0</v>
      </c>
      <c r="P757" s="788">
        <f t="shared" si="65"/>
        <v>0</v>
      </c>
    </row>
    <row r="758" spans="3:16">
      <c r="C758" s="784">
        <f>IF(D703="","-",+C757+1)</f>
        <v>2065</v>
      </c>
      <c r="D758" s="732">
        <f t="shared" si="66"/>
        <v>0</v>
      </c>
      <c r="E758" s="785">
        <f t="shared" si="68"/>
        <v>0</v>
      </c>
      <c r="F758" s="785">
        <f t="shared" si="62"/>
        <v>0</v>
      </c>
      <c r="G758" s="732">
        <f t="shared" si="67"/>
        <v>0</v>
      </c>
      <c r="H758" s="790">
        <f>+J704*G758+E758</f>
        <v>0</v>
      </c>
      <c r="I758" s="791">
        <f>+J705*G758+E758</f>
        <v>0</v>
      </c>
      <c r="J758" s="788">
        <f t="shared" si="69"/>
        <v>0</v>
      </c>
      <c r="K758" s="788"/>
      <c r="L758" s="1310"/>
      <c r="M758" s="788">
        <f t="shared" si="63"/>
        <v>0</v>
      </c>
      <c r="N758" s="1310"/>
      <c r="O758" s="788">
        <f t="shared" si="64"/>
        <v>0</v>
      </c>
      <c r="P758" s="788">
        <f t="shared" si="65"/>
        <v>0</v>
      </c>
    </row>
    <row r="759" spans="3:16">
      <c r="C759" s="784">
        <f>IF(D703="","-",+C758+1)</f>
        <v>2066</v>
      </c>
      <c r="D759" s="732">
        <f t="shared" si="66"/>
        <v>0</v>
      </c>
      <c r="E759" s="785">
        <f t="shared" si="68"/>
        <v>0</v>
      </c>
      <c r="F759" s="785">
        <f t="shared" si="62"/>
        <v>0</v>
      </c>
      <c r="G759" s="732">
        <f t="shared" si="67"/>
        <v>0</v>
      </c>
      <c r="H759" s="790">
        <f>+J704*G759+E759</f>
        <v>0</v>
      </c>
      <c r="I759" s="791">
        <f>+J705*G759+E759</f>
        <v>0</v>
      </c>
      <c r="J759" s="788">
        <f t="shared" si="69"/>
        <v>0</v>
      </c>
      <c r="K759" s="788"/>
      <c r="L759" s="1310"/>
      <c r="M759" s="788">
        <f t="shared" si="63"/>
        <v>0</v>
      </c>
      <c r="N759" s="1310"/>
      <c r="O759" s="788">
        <f t="shared" si="64"/>
        <v>0</v>
      </c>
      <c r="P759" s="788">
        <f t="shared" si="65"/>
        <v>0</v>
      </c>
    </row>
    <row r="760" spans="3:16">
      <c r="C760" s="784">
        <f>IF(D703="","-",+C759+1)</f>
        <v>2067</v>
      </c>
      <c r="D760" s="732">
        <f t="shared" si="66"/>
        <v>0</v>
      </c>
      <c r="E760" s="785">
        <f t="shared" si="68"/>
        <v>0</v>
      </c>
      <c r="F760" s="785">
        <f t="shared" si="62"/>
        <v>0</v>
      </c>
      <c r="G760" s="732">
        <f t="shared" si="67"/>
        <v>0</v>
      </c>
      <c r="H760" s="790">
        <f>+J704*G760+E760</f>
        <v>0</v>
      </c>
      <c r="I760" s="791">
        <f>+J705*G760+E760</f>
        <v>0</v>
      </c>
      <c r="J760" s="788">
        <f t="shared" si="69"/>
        <v>0</v>
      </c>
      <c r="K760" s="788"/>
      <c r="L760" s="1310"/>
      <c r="M760" s="788">
        <f t="shared" si="63"/>
        <v>0</v>
      </c>
      <c r="N760" s="1310"/>
      <c r="O760" s="788">
        <f t="shared" si="64"/>
        <v>0</v>
      </c>
      <c r="P760" s="788">
        <f t="shared" si="65"/>
        <v>0</v>
      </c>
    </row>
    <row r="761" spans="3:16">
      <c r="C761" s="784">
        <f>IF(D703="","-",+C760+1)</f>
        <v>2068</v>
      </c>
      <c r="D761" s="732">
        <f t="shared" si="66"/>
        <v>0</v>
      </c>
      <c r="E761" s="785">
        <f t="shared" si="68"/>
        <v>0</v>
      </c>
      <c r="F761" s="785">
        <f t="shared" si="62"/>
        <v>0</v>
      </c>
      <c r="G761" s="732">
        <f t="shared" si="67"/>
        <v>0</v>
      </c>
      <c r="H761" s="790">
        <f>+J704*G761+E761</f>
        <v>0</v>
      </c>
      <c r="I761" s="791">
        <f>+J705*G761+E761</f>
        <v>0</v>
      </c>
      <c r="J761" s="788">
        <f t="shared" si="69"/>
        <v>0</v>
      </c>
      <c r="K761" s="788"/>
      <c r="L761" s="1310"/>
      <c r="M761" s="788">
        <f t="shared" si="63"/>
        <v>0</v>
      </c>
      <c r="N761" s="1310"/>
      <c r="O761" s="788">
        <f t="shared" si="64"/>
        <v>0</v>
      </c>
      <c r="P761" s="788">
        <f t="shared" si="65"/>
        <v>0</v>
      </c>
    </row>
    <row r="762" spans="3:16">
      <c r="C762" s="784">
        <f>IF(D703="","-",+C761+1)</f>
        <v>2069</v>
      </c>
      <c r="D762" s="732">
        <f t="shared" si="66"/>
        <v>0</v>
      </c>
      <c r="E762" s="785">
        <f t="shared" si="68"/>
        <v>0</v>
      </c>
      <c r="F762" s="785">
        <f t="shared" si="62"/>
        <v>0</v>
      </c>
      <c r="G762" s="732">
        <f t="shared" si="67"/>
        <v>0</v>
      </c>
      <c r="H762" s="790">
        <f>+J704*G762+E762</f>
        <v>0</v>
      </c>
      <c r="I762" s="791">
        <f>+J705*G762+E762</f>
        <v>0</v>
      </c>
      <c r="J762" s="788">
        <f t="shared" si="69"/>
        <v>0</v>
      </c>
      <c r="K762" s="788"/>
      <c r="L762" s="1310"/>
      <c r="M762" s="788">
        <f t="shared" si="63"/>
        <v>0</v>
      </c>
      <c r="N762" s="1310"/>
      <c r="O762" s="788">
        <f t="shared" si="64"/>
        <v>0</v>
      </c>
      <c r="P762" s="788">
        <f t="shared" si="65"/>
        <v>0</v>
      </c>
    </row>
    <row r="763" spans="3:16">
      <c r="C763" s="784">
        <f>IF(D703="","-",+C762+1)</f>
        <v>2070</v>
      </c>
      <c r="D763" s="732">
        <f t="shared" ref="D763:D768" si="70">F762</f>
        <v>0</v>
      </c>
      <c r="E763" s="785">
        <f t="shared" si="68"/>
        <v>0</v>
      </c>
      <c r="F763" s="785">
        <f t="shared" si="62"/>
        <v>0</v>
      </c>
      <c r="G763" s="732">
        <f t="shared" si="67"/>
        <v>0</v>
      </c>
      <c r="H763" s="790">
        <f>+J704*G763+E763</f>
        <v>0</v>
      </c>
      <c r="I763" s="791">
        <f>+J705*G763+E763</f>
        <v>0</v>
      </c>
      <c r="J763" s="788">
        <f t="shared" si="69"/>
        <v>0</v>
      </c>
      <c r="K763" s="788"/>
      <c r="L763" s="1310"/>
      <c r="M763" s="788">
        <f t="shared" si="63"/>
        <v>0</v>
      </c>
      <c r="N763" s="1310"/>
      <c r="O763" s="788">
        <f t="shared" si="64"/>
        <v>0</v>
      </c>
      <c r="P763" s="788">
        <f t="shared" si="65"/>
        <v>0</v>
      </c>
    </row>
    <row r="764" spans="3:16">
      <c r="C764" s="784">
        <f>IF(D703="","-",+C763+1)</f>
        <v>2071</v>
      </c>
      <c r="D764" s="732">
        <f t="shared" si="70"/>
        <v>0</v>
      </c>
      <c r="E764" s="785">
        <f t="shared" si="68"/>
        <v>0</v>
      </c>
      <c r="F764" s="785">
        <f t="shared" si="62"/>
        <v>0</v>
      </c>
      <c r="G764" s="732">
        <f t="shared" si="67"/>
        <v>0</v>
      </c>
      <c r="H764" s="790">
        <f>+J704*G764+E764</f>
        <v>0</v>
      </c>
      <c r="I764" s="791">
        <f>+J705*G764+E764</f>
        <v>0</v>
      </c>
      <c r="J764" s="788">
        <f t="shared" si="69"/>
        <v>0</v>
      </c>
      <c r="K764" s="788"/>
      <c r="L764" s="1310"/>
      <c r="M764" s="788">
        <f t="shared" si="63"/>
        <v>0</v>
      </c>
      <c r="N764" s="1310"/>
      <c r="O764" s="788">
        <f t="shared" si="64"/>
        <v>0</v>
      </c>
      <c r="P764" s="788">
        <f t="shared" si="65"/>
        <v>0</v>
      </c>
    </row>
    <row r="765" spans="3:16">
      <c r="C765" s="784">
        <f>IF(D703="","-",+C764+1)</f>
        <v>2072</v>
      </c>
      <c r="D765" s="732">
        <f t="shared" si="70"/>
        <v>0</v>
      </c>
      <c r="E765" s="785">
        <f t="shared" si="68"/>
        <v>0</v>
      </c>
      <c r="F765" s="785">
        <f t="shared" si="62"/>
        <v>0</v>
      </c>
      <c r="G765" s="732">
        <f t="shared" si="67"/>
        <v>0</v>
      </c>
      <c r="H765" s="790">
        <f>+J704*G765+E765</f>
        <v>0</v>
      </c>
      <c r="I765" s="791">
        <f>+J705*G765+E765</f>
        <v>0</v>
      </c>
      <c r="J765" s="788">
        <f t="shared" si="69"/>
        <v>0</v>
      </c>
      <c r="K765" s="788"/>
      <c r="L765" s="1310"/>
      <c r="M765" s="788">
        <f t="shared" si="63"/>
        <v>0</v>
      </c>
      <c r="N765" s="1310"/>
      <c r="O765" s="788">
        <f t="shared" si="64"/>
        <v>0</v>
      </c>
      <c r="P765" s="788">
        <f t="shared" si="65"/>
        <v>0</v>
      </c>
    </row>
    <row r="766" spans="3:16">
      <c r="C766" s="784">
        <f>IF(D703="","-",+C765+1)</f>
        <v>2073</v>
      </c>
      <c r="D766" s="732">
        <f t="shared" si="70"/>
        <v>0</v>
      </c>
      <c r="E766" s="785">
        <f t="shared" si="68"/>
        <v>0</v>
      </c>
      <c r="F766" s="785">
        <f t="shared" si="62"/>
        <v>0</v>
      </c>
      <c r="G766" s="732">
        <f t="shared" si="67"/>
        <v>0</v>
      </c>
      <c r="H766" s="790">
        <f>+J704*G766+E766</f>
        <v>0</v>
      </c>
      <c r="I766" s="791">
        <f>+J705*G766+E766</f>
        <v>0</v>
      </c>
      <c r="J766" s="788">
        <f t="shared" si="69"/>
        <v>0</v>
      </c>
      <c r="K766" s="788"/>
      <c r="L766" s="1310"/>
      <c r="M766" s="788">
        <f t="shared" si="63"/>
        <v>0</v>
      </c>
      <c r="N766" s="1310"/>
      <c r="O766" s="788">
        <f t="shared" si="64"/>
        <v>0</v>
      </c>
      <c r="P766" s="788">
        <f t="shared" si="65"/>
        <v>0</v>
      </c>
    </row>
    <row r="767" spans="3:16">
      <c r="C767" s="784">
        <f>IF(D703="","-",+C766+1)</f>
        <v>2074</v>
      </c>
      <c r="D767" s="732">
        <f t="shared" si="70"/>
        <v>0</v>
      </c>
      <c r="E767" s="785">
        <f t="shared" si="68"/>
        <v>0</v>
      </c>
      <c r="F767" s="785">
        <f t="shared" si="62"/>
        <v>0</v>
      </c>
      <c r="G767" s="732">
        <f t="shared" si="67"/>
        <v>0</v>
      </c>
      <c r="H767" s="790">
        <f>+J704*G767+E767</f>
        <v>0</v>
      </c>
      <c r="I767" s="791">
        <f>+J705*G767+E767</f>
        <v>0</v>
      </c>
      <c r="J767" s="788">
        <f t="shared" si="69"/>
        <v>0</v>
      </c>
      <c r="K767" s="788"/>
      <c r="L767" s="1310"/>
      <c r="M767" s="788">
        <f t="shared" si="63"/>
        <v>0</v>
      </c>
      <c r="N767" s="1310"/>
      <c r="O767" s="788">
        <f t="shared" si="64"/>
        <v>0</v>
      </c>
      <c r="P767" s="788">
        <f t="shared" si="65"/>
        <v>0</v>
      </c>
    </row>
    <row r="768" spans="3:16" ht="13.5" thickBot="1">
      <c r="C768" s="794">
        <f>IF(D703="","-",+C767+1)</f>
        <v>2075</v>
      </c>
      <c r="D768" s="795">
        <f t="shared" si="70"/>
        <v>0</v>
      </c>
      <c r="E768" s="796">
        <f t="shared" si="68"/>
        <v>0</v>
      </c>
      <c r="F768" s="796">
        <f t="shared" si="62"/>
        <v>0</v>
      </c>
      <c r="G768" s="795">
        <f t="shared" si="67"/>
        <v>0</v>
      </c>
      <c r="H768" s="797">
        <f>+J704*G768+E768</f>
        <v>0</v>
      </c>
      <c r="I768" s="797">
        <f>+J705*G768+E768</f>
        <v>0</v>
      </c>
      <c r="J768" s="798">
        <f t="shared" si="69"/>
        <v>0</v>
      </c>
      <c r="K768" s="788"/>
      <c r="L768" s="1311"/>
      <c r="M768" s="798">
        <f t="shared" si="63"/>
        <v>0</v>
      </c>
      <c r="N768" s="1311"/>
      <c r="O768" s="798">
        <f t="shared" si="64"/>
        <v>0</v>
      </c>
      <c r="P768" s="798">
        <f t="shared" si="65"/>
        <v>0</v>
      </c>
    </row>
    <row r="769" spans="1:17">
      <c r="C769" s="732" t="s">
        <v>93</v>
      </c>
      <c r="D769" s="726"/>
      <c r="E769" s="726">
        <f>SUM(E709:E768)</f>
        <v>62382766.399999999</v>
      </c>
      <c r="F769" s="726"/>
      <c r="G769" s="726"/>
      <c r="H769" s="726">
        <f>SUM(H709:H768)</f>
        <v>210281592.73269323</v>
      </c>
      <c r="I769" s="726">
        <f>SUM(I709:I768)</f>
        <v>210281592.73269323</v>
      </c>
      <c r="J769" s="726">
        <f>SUM(J709:J768)</f>
        <v>0</v>
      </c>
      <c r="K769" s="726"/>
      <c r="L769" s="726"/>
      <c r="M769" s="726"/>
      <c r="N769" s="726"/>
      <c r="O769" s="726"/>
    </row>
    <row r="770" spans="1:17">
      <c r="D770" s="534"/>
      <c r="E770" s="313"/>
      <c r="F770" s="313"/>
      <c r="G770" s="313"/>
      <c r="H770" s="313"/>
      <c r="I770" s="704"/>
      <c r="J770" s="704"/>
      <c r="K770" s="726"/>
      <c r="L770" s="704"/>
      <c r="M770" s="704"/>
      <c r="N770" s="704"/>
      <c r="O770" s="704"/>
    </row>
    <row r="771" spans="1:17">
      <c r="C771" s="313" t="s">
        <v>15</v>
      </c>
      <c r="D771" s="534"/>
      <c r="E771" s="313"/>
      <c r="F771" s="313"/>
      <c r="G771" s="313"/>
      <c r="H771" s="313"/>
      <c r="I771" s="704"/>
      <c r="J771" s="704"/>
      <c r="K771" s="726"/>
      <c r="L771" s="704"/>
      <c r="M771" s="704"/>
      <c r="N771" s="704"/>
      <c r="O771" s="704"/>
    </row>
    <row r="772" spans="1:17">
      <c r="C772" s="313"/>
      <c r="D772" s="534"/>
      <c r="E772" s="313"/>
      <c r="F772" s="313"/>
      <c r="G772" s="313"/>
      <c r="H772" s="313"/>
      <c r="I772" s="704"/>
      <c r="J772" s="704"/>
      <c r="K772" s="726"/>
      <c r="L772" s="704"/>
      <c r="M772" s="704"/>
      <c r="N772" s="704"/>
      <c r="O772" s="704"/>
    </row>
    <row r="773" spans="1:17">
      <c r="C773" s="745" t="s">
        <v>16</v>
      </c>
      <c r="D773" s="732"/>
      <c r="E773" s="732"/>
      <c r="F773" s="732"/>
      <c r="G773" s="732"/>
      <c r="H773" s="726"/>
      <c r="I773" s="726"/>
      <c r="J773" s="800"/>
      <c r="K773" s="800"/>
      <c r="L773" s="800"/>
      <c r="M773" s="800"/>
      <c r="N773" s="800"/>
      <c r="O773" s="800"/>
    </row>
    <row r="774" spans="1:17">
      <c r="C774" s="731" t="s">
        <v>273</v>
      </c>
      <c r="D774" s="732"/>
      <c r="E774" s="732"/>
      <c r="F774" s="732"/>
      <c r="G774" s="732"/>
      <c r="H774" s="726"/>
      <c r="I774" s="726"/>
      <c r="J774" s="800"/>
      <c r="K774" s="800"/>
      <c r="L774" s="800"/>
      <c r="M774" s="800"/>
      <c r="N774" s="800"/>
      <c r="O774" s="800"/>
    </row>
    <row r="775" spans="1:17">
      <c r="C775" s="731" t="s">
        <v>94</v>
      </c>
      <c r="D775" s="732"/>
      <c r="E775" s="732"/>
      <c r="F775" s="732"/>
      <c r="G775" s="732"/>
      <c r="H775" s="726"/>
      <c r="I775" s="726"/>
      <c r="J775" s="800"/>
      <c r="K775" s="800"/>
      <c r="L775" s="800"/>
      <c r="M775" s="800"/>
      <c r="N775" s="800"/>
      <c r="O775" s="800"/>
    </row>
    <row r="776" spans="1:17">
      <c r="C776" s="731"/>
      <c r="D776" s="732"/>
      <c r="E776" s="732"/>
      <c r="F776" s="732"/>
      <c r="G776" s="732"/>
      <c r="H776" s="726"/>
      <c r="I776" s="726"/>
      <c r="J776" s="800"/>
      <c r="K776" s="800"/>
      <c r="L776" s="800"/>
      <c r="M776" s="800"/>
      <c r="N776" s="800"/>
      <c r="O776" s="800"/>
    </row>
    <row r="777" spans="1:17" ht="20.25">
      <c r="A777" s="733" t="str">
        <f>""&amp;A697&amp;" Worksheet K -  ATRR TRUE-UP Calculation for PJM Projects Charged to Benefiting Zones"</f>
        <v xml:space="preserve"> Worksheet K -  ATRR TRUE-UP Calculation for PJM Projects Charged to Benefiting Zones</v>
      </c>
      <c r="B777" s="346"/>
      <c r="C777" s="721"/>
      <c r="D777" s="534"/>
      <c r="E777" s="313"/>
      <c r="F777" s="703"/>
      <c r="G777" s="703"/>
      <c r="H777" s="313"/>
      <c r="I777" s="704"/>
      <c r="L777" s="560"/>
      <c r="M777" s="560"/>
      <c r="N777" s="560"/>
      <c r="O777" s="649" t="str">
        <f>"Page "&amp;SUM(Q$8:Q777)&amp;" of "</f>
        <v xml:space="preserve">Page 9 of </v>
      </c>
      <c r="P777" s="650">
        <f>COUNT(Q$8:Q$56657)</f>
        <v>10</v>
      </c>
      <c r="Q777" s="173">
        <v>1</v>
      </c>
    </row>
    <row r="778" spans="1:17">
      <c r="B778" s="346"/>
      <c r="C778" s="313"/>
      <c r="D778" s="534"/>
      <c r="E778" s="313"/>
      <c r="F778" s="313"/>
      <c r="G778" s="313"/>
      <c r="H778" s="313"/>
      <c r="I778" s="704"/>
      <c r="J778" s="313"/>
      <c r="K778" s="423"/>
    </row>
    <row r="779" spans="1:17" ht="18">
      <c r="B779" s="653" t="s">
        <v>474</v>
      </c>
      <c r="C779" s="735" t="s">
        <v>95</v>
      </c>
      <c r="D779" s="534"/>
      <c r="E779" s="313"/>
      <c r="F779" s="313"/>
      <c r="G779" s="313"/>
      <c r="H779" s="313"/>
      <c r="I779" s="704"/>
      <c r="J779" s="704"/>
      <c r="K779" s="726"/>
      <c r="L779" s="704"/>
      <c r="M779" s="704"/>
      <c r="N779" s="704"/>
      <c r="O779" s="704"/>
    </row>
    <row r="780" spans="1:17" ht="18.75">
      <c r="B780" s="653"/>
      <c r="C780" s="652"/>
      <c r="D780" s="534"/>
      <c r="E780" s="313"/>
      <c r="F780" s="313"/>
      <c r="G780" s="313"/>
      <c r="H780" s="313"/>
      <c r="I780" s="704"/>
      <c r="J780" s="704"/>
      <c r="K780" s="726"/>
      <c r="L780" s="704"/>
      <c r="M780" s="704"/>
      <c r="N780" s="704"/>
      <c r="O780" s="704"/>
    </row>
    <row r="781" spans="1:17" ht="18.75">
      <c r="B781" s="653"/>
      <c r="C781" s="652" t="s">
        <v>96</v>
      </c>
      <c r="D781" s="534"/>
      <c r="E781" s="313"/>
      <c r="F781" s="313"/>
      <c r="G781" s="313"/>
      <c r="H781" s="313"/>
      <c r="I781" s="704"/>
      <c r="J781" s="704"/>
      <c r="K781" s="726"/>
      <c r="L781" s="704"/>
      <c r="M781" s="704"/>
      <c r="N781" s="704"/>
      <c r="O781" s="704"/>
    </row>
    <row r="782" spans="1:17" ht="15.75" thickBot="1">
      <c r="C782" s="240"/>
      <c r="D782" s="534"/>
      <c r="E782" s="313"/>
      <c r="F782" s="313"/>
      <c r="G782" s="313"/>
      <c r="H782" s="313"/>
      <c r="I782" s="704"/>
      <c r="J782" s="704"/>
      <c r="K782" s="726"/>
      <c r="L782" s="704"/>
      <c r="M782" s="704"/>
      <c r="N782" s="704"/>
      <c r="O782" s="704"/>
    </row>
    <row r="783" spans="1:17" ht="15.75">
      <c r="C783" s="655" t="s">
        <v>97</v>
      </c>
      <c r="D783" s="534"/>
      <c r="E783" s="313"/>
      <c r="F783" s="313"/>
      <c r="G783" s="313"/>
      <c r="H783" s="802"/>
      <c r="I783" s="313" t="s">
        <v>76</v>
      </c>
      <c r="J783" s="313"/>
      <c r="K783" s="423"/>
      <c r="L783" s="831">
        <f>+J789</f>
        <v>2021</v>
      </c>
      <c r="M783" s="812" t="s">
        <v>54</v>
      </c>
      <c r="N783" s="812" t="s">
        <v>55</v>
      </c>
      <c r="O783" s="813" t="s">
        <v>57</v>
      </c>
    </row>
    <row r="784" spans="1:17" ht="15.75">
      <c r="C784" s="655"/>
      <c r="D784" s="534"/>
      <c r="E784" s="313"/>
      <c r="F784" s="313"/>
      <c r="H784" s="313"/>
      <c r="I784" s="740"/>
      <c r="J784" s="740"/>
      <c r="K784" s="741"/>
      <c r="L784" s="832" t="s">
        <v>245</v>
      </c>
      <c r="M784" s="833">
        <f>VLOOKUP(J789,C796:P855,10)</f>
        <v>4001666.4118550606</v>
      </c>
      <c r="N784" s="833">
        <f>VLOOKUP(J789,C796:P855,12)</f>
        <v>4001666.4118550606</v>
      </c>
      <c r="O784" s="834">
        <f>+N784-M784</f>
        <v>0</v>
      </c>
    </row>
    <row r="785" spans="1:16" ht="12.95" customHeight="1">
      <c r="A785" s="1340"/>
      <c r="C785" s="745" t="s">
        <v>98</v>
      </c>
      <c r="D785" s="1557" t="s">
        <v>825</v>
      </c>
      <c r="E785" s="1557"/>
      <c r="F785" s="1557"/>
      <c r="G785" s="1557"/>
      <c r="H785" s="1557"/>
      <c r="I785" s="1557"/>
      <c r="J785" s="704"/>
      <c r="K785" s="726"/>
      <c r="L785" s="832" t="s">
        <v>246</v>
      </c>
      <c r="M785" s="835">
        <f>VLOOKUP(J789,C796:P855,6)</f>
        <v>4204376.4207431972</v>
      </c>
      <c r="N785" s="835">
        <f>VLOOKUP(J789,C796:P855,7)</f>
        <v>4204376.4207431972</v>
      </c>
      <c r="O785" s="836">
        <f>+N785-M785</f>
        <v>0</v>
      </c>
    </row>
    <row r="786" spans="1:16" ht="13.5" thickBot="1">
      <c r="C786" s="749"/>
      <c r="D786" s="1557"/>
      <c r="E786" s="1557"/>
      <c r="F786" s="1557"/>
      <c r="G786" s="1557"/>
      <c r="H786" s="1557"/>
      <c r="I786" s="1557"/>
      <c r="J786" s="704"/>
      <c r="K786" s="726"/>
      <c r="L786" s="768" t="s">
        <v>247</v>
      </c>
      <c r="M786" s="837">
        <f>+M785-M784</f>
        <v>202710.0088881366</v>
      </c>
      <c r="N786" s="837">
        <f>+N785-N784</f>
        <v>202710.0088881366</v>
      </c>
      <c r="O786" s="838">
        <f>+O785-O784</f>
        <v>0</v>
      </c>
    </row>
    <row r="787" spans="1:16" ht="13.5" thickBot="1">
      <c r="C787" s="752"/>
      <c r="D787" s="753"/>
      <c r="E787" s="751"/>
      <c r="F787" s="751"/>
      <c r="G787" s="751"/>
      <c r="H787" s="751"/>
      <c r="I787" s="751"/>
      <c r="J787" s="751"/>
      <c r="K787" s="754"/>
      <c r="L787" s="751"/>
      <c r="M787" s="751"/>
      <c r="N787" s="751"/>
      <c r="O787" s="751"/>
      <c r="P787" s="346"/>
    </row>
    <row r="788" spans="1:16" ht="13.5" thickBot="1">
      <c r="C788" s="755" t="s">
        <v>99</v>
      </c>
      <c r="D788" s="756"/>
      <c r="E788" s="756"/>
      <c r="F788" s="756"/>
      <c r="G788" s="756"/>
      <c r="H788" s="756"/>
      <c r="I788" s="756"/>
      <c r="J788" s="756"/>
      <c r="K788" s="758"/>
      <c r="P788" s="759"/>
    </row>
    <row r="789" spans="1:16" ht="15">
      <c r="C789" s="760" t="s">
        <v>77</v>
      </c>
      <c r="D789" s="804">
        <v>32360309.789999999</v>
      </c>
      <c r="E789" s="721" t="s">
        <v>78</v>
      </c>
      <c r="H789" s="761"/>
      <c r="I789" s="761"/>
      <c r="J789" s="762">
        <f>$J$93</f>
        <v>2021</v>
      </c>
      <c r="K789" s="550"/>
      <c r="L789" s="1558" t="s">
        <v>79</v>
      </c>
      <c r="M789" s="1558"/>
      <c r="N789" s="1558"/>
      <c r="O789" s="1558"/>
      <c r="P789" s="423"/>
    </row>
    <row r="790" spans="1:16">
      <c r="C790" s="760" t="s">
        <v>80</v>
      </c>
      <c r="D790" s="1307">
        <v>2017</v>
      </c>
      <c r="E790" s="760" t="s">
        <v>81</v>
      </c>
      <c r="F790" s="761"/>
      <c r="G790" s="761"/>
      <c r="I790" s="173"/>
      <c r="J790" s="806">
        <f>IF(H783="",0,$F$17)</f>
        <v>0</v>
      </c>
      <c r="K790" s="763"/>
      <c r="L790" s="726" t="s">
        <v>287</v>
      </c>
      <c r="P790" s="423"/>
    </row>
    <row r="791" spans="1:16">
      <c r="C791" s="760" t="s">
        <v>82</v>
      </c>
      <c r="D791" s="804">
        <v>8</v>
      </c>
      <c r="E791" s="760" t="s">
        <v>83</v>
      </c>
      <c r="F791" s="761"/>
      <c r="G791" s="761"/>
      <c r="I791" s="173"/>
      <c r="J791" s="764">
        <f>$F$70</f>
        <v>0.11565015966136639</v>
      </c>
      <c r="K791" s="765"/>
      <c r="L791" s="313" t="str">
        <f>"          INPUT TRUE-UP ARR (WITH &amp; WITHOUT INCENTIVES) FROM EACH PRIOR YEAR"</f>
        <v xml:space="preserve">          INPUT TRUE-UP ARR (WITH &amp; WITHOUT INCENTIVES) FROM EACH PRIOR YEAR</v>
      </c>
      <c r="P791" s="423"/>
    </row>
    <row r="792" spans="1:16">
      <c r="C792" s="760" t="s">
        <v>84</v>
      </c>
      <c r="D792" s="766">
        <f>H$79</f>
        <v>39</v>
      </c>
      <c r="E792" s="760" t="s">
        <v>85</v>
      </c>
      <c r="F792" s="761"/>
      <c r="G792" s="761"/>
      <c r="I792" s="173"/>
      <c r="J792" s="764">
        <f>IF(H783="",+J791,$F$69)</f>
        <v>0.11565015966136639</v>
      </c>
      <c r="K792" s="767"/>
      <c r="L792" s="313" t="s">
        <v>167</v>
      </c>
      <c r="M792" s="767"/>
      <c r="N792" s="767"/>
      <c r="O792" s="767"/>
      <c r="P792" s="423"/>
    </row>
    <row r="793" spans="1:16" ht="13.5" thickBot="1">
      <c r="C793" s="760" t="s">
        <v>86</v>
      </c>
      <c r="D793" s="1331" t="s">
        <v>814</v>
      </c>
      <c r="E793" s="768" t="s">
        <v>87</v>
      </c>
      <c r="F793" s="769"/>
      <c r="G793" s="769"/>
      <c r="H793" s="770"/>
      <c r="I793" s="770"/>
      <c r="J793" s="748">
        <f>IF(D789=0,0,D789/D792)</f>
        <v>829751.53307692311</v>
      </c>
      <c r="K793" s="726"/>
      <c r="L793" s="726" t="s">
        <v>168</v>
      </c>
      <c r="M793" s="726"/>
      <c r="N793" s="726"/>
      <c r="O793" s="726"/>
      <c r="P793" s="423"/>
    </row>
    <row r="794" spans="1:16" ht="38.25">
      <c r="B794" s="841"/>
      <c r="C794" s="771" t="s">
        <v>77</v>
      </c>
      <c r="D794" s="772" t="s">
        <v>88</v>
      </c>
      <c r="E794" s="773" t="s">
        <v>89</v>
      </c>
      <c r="F794" s="772" t="s">
        <v>90</v>
      </c>
      <c r="G794" s="772" t="s">
        <v>248</v>
      </c>
      <c r="H794" s="773" t="s">
        <v>161</v>
      </c>
      <c r="I794" s="774" t="s">
        <v>161</v>
      </c>
      <c r="J794" s="771" t="s">
        <v>100</v>
      </c>
      <c r="K794" s="775"/>
      <c r="L794" s="773" t="s">
        <v>163</v>
      </c>
      <c r="M794" s="773" t="s">
        <v>169</v>
      </c>
      <c r="N794" s="773" t="s">
        <v>163</v>
      </c>
      <c r="O794" s="773" t="s">
        <v>171</v>
      </c>
      <c r="P794" s="773" t="s">
        <v>91</v>
      </c>
    </row>
    <row r="795" spans="1:16" ht="13.5" thickBot="1">
      <c r="C795" s="777" t="s">
        <v>477</v>
      </c>
      <c r="D795" s="778" t="s">
        <v>478</v>
      </c>
      <c r="E795" s="777" t="s">
        <v>371</v>
      </c>
      <c r="F795" s="778" t="s">
        <v>478</v>
      </c>
      <c r="G795" s="778" t="s">
        <v>478</v>
      </c>
      <c r="H795" s="779" t="s">
        <v>103</v>
      </c>
      <c r="I795" s="780" t="s">
        <v>105</v>
      </c>
      <c r="J795" s="781" t="s">
        <v>17</v>
      </c>
      <c r="K795" s="782"/>
      <c r="L795" s="779" t="s">
        <v>92</v>
      </c>
      <c r="M795" s="779" t="s">
        <v>92</v>
      </c>
      <c r="N795" s="779" t="s">
        <v>265</v>
      </c>
      <c r="O795" s="779" t="s">
        <v>265</v>
      </c>
      <c r="P795" s="779" t="s">
        <v>265</v>
      </c>
    </row>
    <row r="796" spans="1:16">
      <c r="C796" s="784">
        <f>IF(D790= "","-",D790)</f>
        <v>2017</v>
      </c>
      <c r="D796" s="732">
        <f>+D789</f>
        <v>32360309.789999999</v>
      </c>
      <c r="E796" s="790">
        <f>+J793/12*(12-D791)</f>
        <v>276583.84435897437</v>
      </c>
      <c r="F796" s="839">
        <f t="shared" ref="F796:F855" si="71">+D796-E796</f>
        <v>32083725.945641026</v>
      </c>
      <c r="G796" s="732">
        <f t="shared" ref="G796:G855" si="72">+(D796+F796)/2</f>
        <v>32222017.867820513</v>
      </c>
      <c r="H796" s="786">
        <f>+J791*G796+E796</f>
        <v>4003065.3553838171</v>
      </c>
      <c r="I796" s="787">
        <f>+J792*G796+E796</f>
        <v>4003065.3553838171</v>
      </c>
      <c r="J796" s="788">
        <f t="shared" ref="J796:J855" si="73">+I796-H796</f>
        <v>0</v>
      </c>
      <c r="K796" s="788"/>
      <c r="L796" s="1309">
        <v>3283917</v>
      </c>
      <c r="M796" s="840">
        <f t="shared" ref="M796:M855" si="74">IF(L796&lt;&gt;0,+H796-L796,0)</f>
        <v>719148.35538381711</v>
      </c>
      <c r="N796" s="1309">
        <v>3283917</v>
      </c>
      <c r="O796" s="840">
        <f t="shared" ref="O796:O855" si="75">IF(N796&lt;&gt;0,+I796-N796,0)</f>
        <v>719148.35538381711</v>
      </c>
      <c r="P796" s="840">
        <f t="shared" ref="P796:P855" si="76">+O796-M796</f>
        <v>0</v>
      </c>
    </row>
    <row r="797" spans="1:16">
      <c r="C797" s="784">
        <f>IF(D790="","-",+C796+1)</f>
        <v>2018</v>
      </c>
      <c r="D797" s="1402">
        <f t="shared" ref="D797:D855" si="77">F796</f>
        <v>32083725.945641026</v>
      </c>
      <c r="E797" s="785">
        <f>IF(D797&gt;$J$793,$J$793,D797)</f>
        <v>829751.53307692311</v>
      </c>
      <c r="F797" s="785">
        <f t="shared" si="71"/>
        <v>31253974.412564103</v>
      </c>
      <c r="G797" s="732">
        <f t="shared" si="72"/>
        <v>31668850.179102562</v>
      </c>
      <c r="H797" s="790">
        <f>+J791*G797+E797</f>
        <v>4492259.112582026</v>
      </c>
      <c r="I797" s="791">
        <f>+J792*G797+E797</f>
        <v>4492259.112582026</v>
      </c>
      <c r="J797" s="788">
        <f t="shared" si="73"/>
        <v>0</v>
      </c>
      <c r="K797" s="788"/>
      <c r="L797" s="1310">
        <v>3670194</v>
      </c>
      <c r="M797" s="788">
        <f t="shared" si="74"/>
        <v>822065.11258202605</v>
      </c>
      <c r="N797" s="1310">
        <v>3670194</v>
      </c>
      <c r="O797" s="788">
        <f t="shared" si="75"/>
        <v>822065.11258202605</v>
      </c>
      <c r="P797" s="788">
        <f t="shared" si="76"/>
        <v>0</v>
      </c>
    </row>
    <row r="798" spans="1:16">
      <c r="C798" s="784">
        <f>IF(D790="","-",+C797+1)</f>
        <v>2019</v>
      </c>
      <c r="D798" s="1332">
        <f t="shared" si="77"/>
        <v>31253974.412564103</v>
      </c>
      <c r="E798" s="785">
        <f t="shared" ref="E798:E855" si="78">IF(D798&gt;$J$793,$J$793,D798)</f>
        <v>829751.53307692311</v>
      </c>
      <c r="F798" s="785">
        <f t="shared" si="71"/>
        <v>30424222.879487179</v>
      </c>
      <c r="G798" s="732">
        <f t="shared" si="72"/>
        <v>30839098.646025643</v>
      </c>
      <c r="H798" s="790">
        <f>+J791*G798+E798</f>
        <v>4396298.2153024171</v>
      </c>
      <c r="I798" s="791">
        <f>+J792*G798+E798</f>
        <v>4396298.2153024171</v>
      </c>
      <c r="J798" s="788">
        <f t="shared" si="73"/>
        <v>0</v>
      </c>
      <c r="K798" s="788"/>
      <c r="L798" s="1310">
        <v>3932147</v>
      </c>
      <c r="M798" s="788">
        <f t="shared" si="74"/>
        <v>464151.21530241705</v>
      </c>
      <c r="N798" s="1310">
        <v>3932147</v>
      </c>
      <c r="O798" s="788">
        <f t="shared" si="75"/>
        <v>464151.21530241705</v>
      </c>
      <c r="P798" s="788">
        <f t="shared" si="76"/>
        <v>0</v>
      </c>
    </row>
    <row r="799" spans="1:16">
      <c r="C799" s="784">
        <f>IF(D790="","-",+C798+1)</f>
        <v>2020</v>
      </c>
      <c r="D799" s="732">
        <f t="shared" si="77"/>
        <v>30424222.879487179</v>
      </c>
      <c r="E799" s="785">
        <f t="shared" si="78"/>
        <v>829751.53307692311</v>
      </c>
      <c r="F799" s="785">
        <f t="shared" si="71"/>
        <v>29594471.346410256</v>
      </c>
      <c r="G799" s="732">
        <f t="shared" si="72"/>
        <v>30009347.112948716</v>
      </c>
      <c r="H799" s="790">
        <f>+J791*G799+E799</f>
        <v>4300337.3180228071</v>
      </c>
      <c r="I799" s="791">
        <f>+J792*G799+E799</f>
        <v>4300337.3180228071</v>
      </c>
      <c r="J799" s="788">
        <f t="shared" si="73"/>
        <v>0</v>
      </c>
      <c r="K799" s="788"/>
      <c r="L799" s="1310">
        <v>4014940.5433018482</v>
      </c>
      <c r="M799" s="788">
        <f t="shared" si="74"/>
        <v>285396.7747209589</v>
      </c>
      <c r="N799" s="1310">
        <v>4014940.5433018482</v>
      </c>
      <c r="O799" s="788">
        <f t="shared" si="75"/>
        <v>285396.7747209589</v>
      </c>
      <c r="P799" s="788">
        <f t="shared" si="76"/>
        <v>0</v>
      </c>
    </row>
    <row r="800" spans="1:16">
      <c r="C800" s="784">
        <f>IF(D790="","-",+C799+1)</f>
        <v>2021</v>
      </c>
      <c r="D800" s="1332">
        <f t="shared" si="77"/>
        <v>29594471.346410256</v>
      </c>
      <c r="E800" s="785">
        <f t="shared" si="78"/>
        <v>829751.53307692311</v>
      </c>
      <c r="F800" s="785">
        <f t="shared" si="71"/>
        <v>28764719.813333333</v>
      </c>
      <c r="G800" s="732">
        <f t="shared" si="72"/>
        <v>29179595.579871796</v>
      </c>
      <c r="H800" s="790">
        <f>+J791*G800+E800</f>
        <v>4204376.4207431972</v>
      </c>
      <c r="I800" s="791">
        <f>+J792*G800+E800</f>
        <v>4204376.4207431972</v>
      </c>
      <c r="J800" s="788">
        <f t="shared" si="73"/>
        <v>0</v>
      </c>
      <c r="K800" s="788"/>
      <c r="L800" s="1310">
        <v>4001666.4118550606</v>
      </c>
      <c r="M800" s="788">
        <f t="shared" si="74"/>
        <v>202710.0088881366</v>
      </c>
      <c r="N800" s="1310">
        <v>4001666.4118550606</v>
      </c>
      <c r="O800" s="788">
        <f t="shared" si="75"/>
        <v>202710.0088881366</v>
      </c>
      <c r="P800" s="788">
        <f t="shared" si="76"/>
        <v>0</v>
      </c>
    </row>
    <row r="801" spans="3:16">
      <c r="C801" s="784">
        <f>IF(D790="","-",+C800+1)</f>
        <v>2022</v>
      </c>
      <c r="D801" s="1332">
        <f t="shared" si="77"/>
        <v>28764719.813333333</v>
      </c>
      <c r="E801" s="785">
        <f t="shared" si="78"/>
        <v>829751.53307692311</v>
      </c>
      <c r="F801" s="785">
        <f t="shared" si="71"/>
        <v>27934968.280256409</v>
      </c>
      <c r="G801" s="732">
        <f t="shared" si="72"/>
        <v>28349844.046794869</v>
      </c>
      <c r="H801" s="790">
        <f>+J791*G801+E801</f>
        <v>4108415.5234635873</v>
      </c>
      <c r="I801" s="791">
        <f>+J792*G801+E801</f>
        <v>4108415.5234635873</v>
      </c>
      <c r="J801" s="788">
        <f t="shared" si="73"/>
        <v>0</v>
      </c>
      <c r="K801" s="788"/>
      <c r="L801" s="1310">
        <v>0</v>
      </c>
      <c r="M801" s="788">
        <f t="shared" si="74"/>
        <v>0</v>
      </c>
      <c r="N801" s="1310">
        <v>0</v>
      </c>
      <c r="O801" s="788">
        <f t="shared" si="75"/>
        <v>0</v>
      </c>
      <c r="P801" s="788">
        <f t="shared" si="76"/>
        <v>0</v>
      </c>
    </row>
    <row r="802" spans="3:16">
      <c r="C802" s="784">
        <f>IF(D790="","-",+C801+1)</f>
        <v>2023</v>
      </c>
      <c r="D802" s="1332">
        <f t="shared" si="77"/>
        <v>27934968.280256409</v>
      </c>
      <c r="E802" s="785">
        <f t="shared" si="78"/>
        <v>829751.53307692311</v>
      </c>
      <c r="F802" s="785">
        <f t="shared" si="71"/>
        <v>27105216.747179486</v>
      </c>
      <c r="G802" s="732">
        <f t="shared" si="72"/>
        <v>27520092.513717949</v>
      </c>
      <c r="H802" s="790">
        <f>+J791*G802+E802</f>
        <v>4012454.6261839783</v>
      </c>
      <c r="I802" s="791">
        <f>+J792*G802+E802</f>
        <v>4012454.6261839783</v>
      </c>
      <c r="J802" s="788">
        <f t="shared" si="73"/>
        <v>0</v>
      </c>
      <c r="K802" s="788"/>
      <c r="L802" s="1310">
        <v>0</v>
      </c>
      <c r="M802" s="788">
        <f t="shared" si="74"/>
        <v>0</v>
      </c>
      <c r="N802" s="1310">
        <v>0</v>
      </c>
      <c r="O802" s="788">
        <f t="shared" si="75"/>
        <v>0</v>
      </c>
      <c r="P802" s="788">
        <f t="shared" si="76"/>
        <v>0</v>
      </c>
    </row>
    <row r="803" spans="3:16">
      <c r="C803" s="784">
        <f>IF(D790="","-",+C802+1)</f>
        <v>2024</v>
      </c>
      <c r="D803" s="732">
        <f t="shared" si="77"/>
        <v>27105216.747179486</v>
      </c>
      <c r="E803" s="785">
        <f t="shared" si="78"/>
        <v>829751.53307692311</v>
      </c>
      <c r="F803" s="785">
        <f t="shared" si="71"/>
        <v>26275465.214102563</v>
      </c>
      <c r="G803" s="732">
        <f t="shared" si="72"/>
        <v>26690340.980641022</v>
      </c>
      <c r="H803" s="790">
        <f>+J791*G803+E803</f>
        <v>3916493.7289043674</v>
      </c>
      <c r="I803" s="791">
        <f>+J792*G803+E803</f>
        <v>3916493.7289043674</v>
      </c>
      <c r="J803" s="788">
        <f t="shared" si="73"/>
        <v>0</v>
      </c>
      <c r="K803" s="788"/>
      <c r="L803" s="1310"/>
      <c r="M803" s="788">
        <f t="shared" si="74"/>
        <v>0</v>
      </c>
      <c r="N803" s="1310"/>
      <c r="O803" s="788">
        <f t="shared" si="75"/>
        <v>0</v>
      </c>
      <c r="P803" s="788">
        <f t="shared" si="76"/>
        <v>0</v>
      </c>
    </row>
    <row r="804" spans="3:16">
      <c r="C804" s="784">
        <f>IF(D790="","-",+C803+1)</f>
        <v>2025</v>
      </c>
      <c r="D804" s="732">
        <f t="shared" si="77"/>
        <v>26275465.214102563</v>
      </c>
      <c r="E804" s="785">
        <f t="shared" si="78"/>
        <v>829751.53307692311</v>
      </c>
      <c r="F804" s="785">
        <f t="shared" si="71"/>
        <v>25445713.681025639</v>
      </c>
      <c r="G804" s="732">
        <f t="shared" si="72"/>
        <v>25860589.447564103</v>
      </c>
      <c r="H804" s="790">
        <f>+J791*G804+E804</f>
        <v>3820532.8316247584</v>
      </c>
      <c r="I804" s="791">
        <f>+J792*G804+E804</f>
        <v>3820532.8316247584</v>
      </c>
      <c r="J804" s="788">
        <f t="shared" si="73"/>
        <v>0</v>
      </c>
      <c r="K804" s="788"/>
      <c r="L804" s="1310"/>
      <c r="M804" s="788">
        <f t="shared" si="74"/>
        <v>0</v>
      </c>
      <c r="N804" s="1310"/>
      <c r="O804" s="788">
        <f t="shared" si="75"/>
        <v>0</v>
      </c>
      <c r="P804" s="788">
        <f t="shared" si="76"/>
        <v>0</v>
      </c>
    </row>
    <row r="805" spans="3:16">
      <c r="C805" s="784">
        <f>IF(D790="","-",+C804+1)</f>
        <v>2026</v>
      </c>
      <c r="D805" s="732">
        <f t="shared" si="77"/>
        <v>25445713.681025639</v>
      </c>
      <c r="E805" s="785">
        <f t="shared" si="78"/>
        <v>829751.53307692311</v>
      </c>
      <c r="F805" s="785">
        <f t="shared" si="71"/>
        <v>24615962.147948716</v>
      </c>
      <c r="G805" s="732">
        <f t="shared" si="72"/>
        <v>25030837.914487176</v>
      </c>
      <c r="H805" s="790">
        <f>+J791*G805+E805</f>
        <v>3724571.9343451485</v>
      </c>
      <c r="I805" s="791">
        <f>+J792*G805+E805</f>
        <v>3724571.9343451485</v>
      </c>
      <c r="J805" s="788">
        <f t="shared" si="73"/>
        <v>0</v>
      </c>
      <c r="K805" s="788"/>
      <c r="L805" s="1310"/>
      <c r="M805" s="788">
        <f t="shared" si="74"/>
        <v>0</v>
      </c>
      <c r="N805" s="1310"/>
      <c r="O805" s="788">
        <f t="shared" si="75"/>
        <v>0</v>
      </c>
      <c r="P805" s="788">
        <f t="shared" si="76"/>
        <v>0</v>
      </c>
    </row>
    <row r="806" spans="3:16">
      <c r="C806" s="784">
        <f>IF(D790="","-",+C805+1)</f>
        <v>2027</v>
      </c>
      <c r="D806" s="732">
        <f t="shared" si="77"/>
        <v>24615962.147948716</v>
      </c>
      <c r="E806" s="785">
        <f t="shared" si="78"/>
        <v>829751.53307692311</v>
      </c>
      <c r="F806" s="785">
        <f t="shared" si="71"/>
        <v>23786210.614871792</v>
      </c>
      <c r="G806" s="732">
        <f t="shared" si="72"/>
        <v>24201086.381410256</v>
      </c>
      <c r="H806" s="790">
        <f>+J791*G806+E806</f>
        <v>3628611.0370655395</v>
      </c>
      <c r="I806" s="791">
        <f>+J792*G806+E806</f>
        <v>3628611.0370655395</v>
      </c>
      <c r="J806" s="788">
        <f t="shared" si="73"/>
        <v>0</v>
      </c>
      <c r="K806" s="788"/>
      <c r="L806" s="1310"/>
      <c r="M806" s="788">
        <f t="shared" si="74"/>
        <v>0</v>
      </c>
      <c r="N806" s="1310"/>
      <c r="O806" s="788">
        <f t="shared" si="75"/>
        <v>0</v>
      </c>
      <c r="P806" s="788">
        <f t="shared" si="76"/>
        <v>0</v>
      </c>
    </row>
    <row r="807" spans="3:16">
      <c r="C807" s="784">
        <f>IF(D790="","-",+C806+1)</f>
        <v>2028</v>
      </c>
      <c r="D807" s="732">
        <f t="shared" si="77"/>
        <v>23786210.614871792</v>
      </c>
      <c r="E807" s="785">
        <f t="shared" si="78"/>
        <v>829751.53307692311</v>
      </c>
      <c r="F807" s="785">
        <f t="shared" si="71"/>
        <v>22956459.081794869</v>
      </c>
      <c r="G807" s="732">
        <f t="shared" si="72"/>
        <v>23371334.848333329</v>
      </c>
      <c r="H807" s="790">
        <f>+J791*G807+E807</f>
        <v>3532650.1397859287</v>
      </c>
      <c r="I807" s="791">
        <f>+J792*G807+E807</f>
        <v>3532650.1397859287</v>
      </c>
      <c r="J807" s="788">
        <f t="shared" si="73"/>
        <v>0</v>
      </c>
      <c r="K807" s="788"/>
      <c r="L807" s="1310"/>
      <c r="M807" s="788">
        <f t="shared" si="74"/>
        <v>0</v>
      </c>
      <c r="N807" s="1310"/>
      <c r="O807" s="788">
        <f t="shared" si="75"/>
        <v>0</v>
      </c>
      <c r="P807" s="788">
        <f t="shared" si="76"/>
        <v>0</v>
      </c>
    </row>
    <row r="808" spans="3:16">
      <c r="C808" s="784">
        <f>IF(D790="","-",+C807+1)</f>
        <v>2029</v>
      </c>
      <c r="D808" s="732">
        <f t="shared" si="77"/>
        <v>22956459.081794869</v>
      </c>
      <c r="E808" s="785">
        <f t="shared" si="78"/>
        <v>829751.53307692311</v>
      </c>
      <c r="F808" s="785">
        <f t="shared" si="71"/>
        <v>22126707.548717946</v>
      </c>
      <c r="G808" s="732">
        <f t="shared" si="72"/>
        <v>22541583.315256409</v>
      </c>
      <c r="H808" s="790">
        <f>+J791*G808+E808</f>
        <v>3436689.2425063197</v>
      </c>
      <c r="I808" s="791">
        <f>+J792*G808+E808</f>
        <v>3436689.2425063197</v>
      </c>
      <c r="J808" s="788">
        <f t="shared" si="73"/>
        <v>0</v>
      </c>
      <c r="K808" s="788"/>
      <c r="L808" s="1310"/>
      <c r="M808" s="788">
        <f t="shared" si="74"/>
        <v>0</v>
      </c>
      <c r="N808" s="1310"/>
      <c r="O808" s="788">
        <f t="shared" si="75"/>
        <v>0</v>
      </c>
      <c r="P808" s="788">
        <f t="shared" si="76"/>
        <v>0</v>
      </c>
    </row>
    <row r="809" spans="3:16">
      <c r="C809" s="784">
        <f>IF(D790="","-",+C808+1)</f>
        <v>2030</v>
      </c>
      <c r="D809" s="732">
        <f t="shared" si="77"/>
        <v>22126707.548717946</v>
      </c>
      <c r="E809" s="785">
        <f t="shared" si="78"/>
        <v>829751.53307692311</v>
      </c>
      <c r="F809" s="785">
        <f t="shared" si="71"/>
        <v>21296956.015641022</v>
      </c>
      <c r="G809" s="732">
        <f t="shared" si="72"/>
        <v>21711831.782179482</v>
      </c>
      <c r="H809" s="790">
        <f>+J791*G809+E809</f>
        <v>3340728.3452267097</v>
      </c>
      <c r="I809" s="791">
        <f>+J792*G809+E809</f>
        <v>3340728.3452267097</v>
      </c>
      <c r="J809" s="788">
        <f t="shared" si="73"/>
        <v>0</v>
      </c>
      <c r="K809" s="788"/>
      <c r="L809" s="1310"/>
      <c r="M809" s="788">
        <f t="shared" si="74"/>
        <v>0</v>
      </c>
      <c r="N809" s="1310"/>
      <c r="O809" s="788">
        <f t="shared" si="75"/>
        <v>0</v>
      </c>
      <c r="P809" s="788">
        <f t="shared" si="76"/>
        <v>0</v>
      </c>
    </row>
    <row r="810" spans="3:16">
      <c r="C810" s="784">
        <f>IF(D790="","-",+C809+1)</f>
        <v>2031</v>
      </c>
      <c r="D810" s="732">
        <f t="shared" si="77"/>
        <v>21296956.015641022</v>
      </c>
      <c r="E810" s="785">
        <f t="shared" si="78"/>
        <v>829751.53307692311</v>
      </c>
      <c r="F810" s="785">
        <f t="shared" si="71"/>
        <v>20467204.482564099</v>
      </c>
      <c r="G810" s="732">
        <f t="shared" si="72"/>
        <v>20882080.249102563</v>
      </c>
      <c r="H810" s="790">
        <f>+J791*G810+E810</f>
        <v>3244767.4479470998</v>
      </c>
      <c r="I810" s="791">
        <f>+J792*G810+E810</f>
        <v>3244767.4479470998</v>
      </c>
      <c r="J810" s="788">
        <f t="shared" si="73"/>
        <v>0</v>
      </c>
      <c r="K810" s="788"/>
      <c r="L810" s="1310"/>
      <c r="M810" s="788">
        <f t="shared" si="74"/>
        <v>0</v>
      </c>
      <c r="N810" s="1310"/>
      <c r="O810" s="788">
        <f t="shared" si="75"/>
        <v>0</v>
      </c>
      <c r="P810" s="788">
        <f t="shared" si="76"/>
        <v>0</v>
      </c>
    </row>
    <row r="811" spans="3:16">
      <c r="C811" s="784">
        <f>IF(D790="","-",+C810+1)</f>
        <v>2032</v>
      </c>
      <c r="D811" s="732">
        <f t="shared" si="77"/>
        <v>20467204.482564099</v>
      </c>
      <c r="E811" s="785">
        <f t="shared" si="78"/>
        <v>829751.53307692311</v>
      </c>
      <c r="F811" s="785">
        <f t="shared" si="71"/>
        <v>19637452.949487176</v>
      </c>
      <c r="G811" s="732">
        <f t="shared" si="72"/>
        <v>20052328.716025636</v>
      </c>
      <c r="H811" s="790">
        <f>+J791*G811+E811</f>
        <v>3148806.5506674899</v>
      </c>
      <c r="I811" s="791">
        <f>+J792*G811+E811</f>
        <v>3148806.5506674899</v>
      </c>
      <c r="J811" s="788">
        <f t="shared" si="73"/>
        <v>0</v>
      </c>
      <c r="K811" s="788"/>
      <c r="L811" s="1310"/>
      <c r="M811" s="788">
        <f t="shared" si="74"/>
        <v>0</v>
      </c>
      <c r="N811" s="1310"/>
      <c r="O811" s="788">
        <f t="shared" si="75"/>
        <v>0</v>
      </c>
      <c r="P811" s="788">
        <f t="shared" si="76"/>
        <v>0</v>
      </c>
    </row>
    <row r="812" spans="3:16">
      <c r="C812" s="784">
        <f>IF(D790="","-",+C811+1)</f>
        <v>2033</v>
      </c>
      <c r="D812" s="732">
        <f t="shared" si="77"/>
        <v>19637452.949487176</v>
      </c>
      <c r="E812" s="785">
        <f t="shared" si="78"/>
        <v>829751.53307692311</v>
      </c>
      <c r="F812" s="785">
        <f t="shared" si="71"/>
        <v>18807701.416410252</v>
      </c>
      <c r="G812" s="732">
        <f t="shared" si="72"/>
        <v>19222577.182948716</v>
      </c>
      <c r="H812" s="790">
        <f>+J791*G812+E812</f>
        <v>3052845.6533878809</v>
      </c>
      <c r="I812" s="791">
        <f>+J792*G812+E812</f>
        <v>3052845.6533878809</v>
      </c>
      <c r="J812" s="788">
        <f t="shared" si="73"/>
        <v>0</v>
      </c>
      <c r="K812" s="788"/>
      <c r="L812" s="1310"/>
      <c r="M812" s="788">
        <f t="shared" si="74"/>
        <v>0</v>
      </c>
      <c r="N812" s="1310"/>
      <c r="O812" s="788">
        <f t="shared" si="75"/>
        <v>0</v>
      </c>
      <c r="P812" s="788">
        <f t="shared" si="76"/>
        <v>0</v>
      </c>
    </row>
    <row r="813" spans="3:16">
      <c r="C813" s="784">
        <f>IF(D790="","-",+C812+1)</f>
        <v>2034</v>
      </c>
      <c r="D813" s="732">
        <f t="shared" si="77"/>
        <v>18807701.416410252</v>
      </c>
      <c r="E813" s="785">
        <f t="shared" si="78"/>
        <v>829751.53307692311</v>
      </c>
      <c r="F813" s="785">
        <f t="shared" si="71"/>
        <v>17977949.883333329</v>
      </c>
      <c r="G813" s="732">
        <f t="shared" si="72"/>
        <v>18392825.649871789</v>
      </c>
      <c r="H813" s="790">
        <f>+J791*G813+E813</f>
        <v>2956884.756108271</v>
      </c>
      <c r="I813" s="791">
        <f>+J792*G813+E813</f>
        <v>2956884.756108271</v>
      </c>
      <c r="J813" s="788">
        <f t="shared" si="73"/>
        <v>0</v>
      </c>
      <c r="K813" s="788"/>
      <c r="L813" s="1310"/>
      <c r="M813" s="788">
        <f t="shared" si="74"/>
        <v>0</v>
      </c>
      <c r="N813" s="1310"/>
      <c r="O813" s="788">
        <f t="shared" si="75"/>
        <v>0</v>
      </c>
      <c r="P813" s="788">
        <f t="shared" si="76"/>
        <v>0</v>
      </c>
    </row>
    <row r="814" spans="3:16">
      <c r="C814" s="784">
        <f>IF(D790="","-",+C813+1)</f>
        <v>2035</v>
      </c>
      <c r="D814" s="732">
        <f t="shared" si="77"/>
        <v>17977949.883333329</v>
      </c>
      <c r="E814" s="785">
        <f t="shared" si="78"/>
        <v>829751.53307692311</v>
      </c>
      <c r="F814" s="785">
        <f t="shared" si="71"/>
        <v>17148198.350256406</v>
      </c>
      <c r="G814" s="732">
        <f t="shared" si="72"/>
        <v>17563074.116794869</v>
      </c>
      <c r="H814" s="790">
        <f>+J791*G814+E814</f>
        <v>2860923.858828661</v>
      </c>
      <c r="I814" s="791">
        <f>+J792*G814+E814</f>
        <v>2860923.858828661</v>
      </c>
      <c r="J814" s="788">
        <f t="shared" si="73"/>
        <v>0</v>
      </c>
      <c r="K814" s="788"/>
      <c r="L814" s="1310"/>
      <c r="M814" s="788">
        <f t="shared" si="74"/>
        <v>0</v>
      </c>
      <c r="N814" s="1310"/>
      <c r="O814" s="788">
        <f t="shared" si="75"/>
        <v>0</v>
      </c>
      <c r="P814" s="788">
        <f t="shared" si="76"/>
        <v>0</v>
      </c>
    </row>
    <row r="815" spans="3:16">
      <c r="C815" s="784">
        <f>IF(D790="","-",+C814+1)</f>
        <v>2036</v>
      </c>
      <c r="D815" s="732">
        <f t="shared" si="77"/>
        <v>17148198.350256406</v>
      </c>
      <c r="E815" s="785">
        <f t="shared" si="78"/>
        <v>829751.53307692311</v>
      </c>
      <c r="F815" s="785">
        <f t="shared" si="71"/>
        <v>16318446.817179482</v>
      </c>
      <c r="G815" s="732">
        <f t="shared" si="72"/>
        <v>16733322.583717944</v>
      </c>
      <c r="H815" s="790">
        <f>+J791*G815+E815</f>
        <v>2764962.9615490511</v>
      </c>
      <c r="I815" s="791">
        <f>+J792*G815+E815</f>
        <v>2764962.9615490511</v>
      </c>
      <c r="J815" s="788">
        <f t="shared" si="73"/>
        <v>0</v>
      </c>
      <c r="K815" s="788"/>
      <c r="L815" s="1310"/>
      <c r="M815" s="788">
        <f t="shared" si="74"/>
        <v>0</v>
      </c>
      <c r="N815" s="1310"/>
      <c r="O815" s="788">
        <f t="shared" si="75"/>
        <v>0</v>
      </c>
      <c r="P815" s="788">
        <f t="shared" si="76"/>
        <v>0</v>
      </c>
    </row>
    <row r="816" spans="3:16">
      <c r="C816" s="784">
        <f>IF(D790="","-",+C815+1)</f>
        <v>2037</v>
      </c>
      <c r="D816" s="732">
        <f t="shared" si="77"/>
        <v>16318446.817179482</v>
      </c>
      <c r="E816" s="785">
        <f t="shared" si="78"/>
        <v>829751.53307692311</v>
      </c>
      <c r="F816" s="785">
        <f t="shared" si="71"/>
        <v>15488695.284102559</v>
      </c>
      <c r="G816" s="732">
        <f t="shared" si="72"/>
        <v>15903571.050641021</v>
      </c>
      <c r="H816" s="790">
        <f>+J791*G816+E816</f>
        <v>2669002.0642694416</v>
      </c>
      <c r="I816" s="791">
        <f>+J792*G816+E816</f>
        <v>2669002.0642694416</v>
      </c>
      <c r="J816" s="788">
        <f t="shared" si="73"/>
        <v>0</v>
      </c>
      <c r="K816" s="788"/>
      <c r="L816" s="1310"/>
      <c r="M816" s="788">
        <f t="shared" si="74"/>
        <v>0</v>
      </c>
      <c r="N816" s="1310"/>
      <c r="O816" s="788">
        <f t="shared" si="75"/>
        <v>0</v>
      </c>
      <c r="P816" s="788">
        <f t="shared" si="76"/>
        <v>0</v>
      </c>
    </row>
    <row r="817" spans="3:16">
      <c r="C817" s="784">
        <f>IF(D790="","-",+C816+1)</f>
        <v>2038</v>
      </c>
      <c r="D817" s="732">
        <f t="shared" si="77"/>
        <v>15488695.284102559</v>
      </c>
      <c r="E817" s="785">
        <f t="shared" si="78"/>
        <v>829751.53307692311</v>
      </c>
      <c r="F817" s="785">
        <f t="shared" si="71"/>
        <v>14658943.751025636</v>
      </c>
      <c r="G817" s="732">
        <f t="shared" si="72"/>
        <v>15073819.517564097</v>
      </c>
      <c r="H817" s="790">
        <f>+J791*G817+E817</f>
        <v>2573041.1669898322</v>
      </c>
      <c r="I817" s="791">
        <f>+J792*G817+E817</f>
        <v>2573041.1669898322</v>
      </c>
      <c r="J817" s="788">
        <f t="shared" si="73"/>
        <v>0</v>
      </c>
      <c r="K817" s="788"/>
      <c r="L817" s="1310"/>
      <c r="M817" s="788">
        <f t="shared" si="74"/>
        <v>0</v>
      </c>
      <c r="N817" s="1310"/>
      <c r="O817" s="788">
        <f t="shared" si="75"/>
        <v>0</v>
      </c>
      <c r="P817" s="788">
        <f t="shared" si="76"/>
        <v>0</v>
      </c>
    </row>
    <row r="818" spans="3:16">
      <c r="C818" s="784">
        <f>IF(D790="","-",+C817+1)</f>
        <v>2039</v>
      </c>
      <c r="D818" s="732">
        <f t="shared" si="77"/>
        <v>14658943.751025636</v>
      </c>
      <c r="E818" s="785">
        <f t="shared" si="78"/>
        <v>829751.53307692311</v>
      </c>
      <c r="F818" s="785">
        <f t="shared" si="71"/>
        <v>13829192.217948712</v>
      </c>
      <c r="G818" s="732">
        <f t="shared" si="72"/>
        <v>14244067.984487174</v>
      </c>
      <c r="H818" s="790">
        <f>+J791*G818+E818</f>
        <v>2477080.2697102223</v>
      </c>
      <c r="I818" s="791">
        <f>+J792*G818+E818</f>
        <v>2477080.2697102223</v>
      </c>
      <c r="J818" s="788">
        <f t="shared" si="73"/>
        <v>0</v>
      </c>
      <c r="K818" s="788"/>
      <c r="L818" s="1310"/>
      <c r="M818" s="788">
        <f t="shared" si="74"/>
        <v>0</v>
      </c>
      <c r="N818" s="1310"/>
      <c r="O818" s="788">
        <f t="shared" si="75"/>
        <v>0</v>
      </c>
      <c r="P818" s="788">
        <f t="shared" si="76"/>
        <v>0</v>
      </c>
    </row>
    <row r="819" spans="3:16">
      <c r="C819" s="784">
        <f>IF(D790="","-",+C818+1)</f>
        <v>2040</v>
      </c>
      <c r="D819" s="732">
        <f t="shared" si="77"/>
        <v>13829192.217948712</v>
      </c>
      <c r="E819" s="785">
        <f t="shared" si="78"/>
        <v>829751.53307692311</v>
      </c>
      <c r="F819" s="785">
        <f t="shared" si="71"/>
        <v>12999440.684871789</v>
      </c>
      <c r="G819" s="732">
        <f t="shared" si="72"/>
        <v>13414316.451410251</v>
      </c>
      <c r="H819" s="790">
        <f>+J791*G819+E819</f>
        <v>2381119.3724306123</v>
      </c>
      <c r="I819" s="791">
        <f>+J792*G819+E819</f>
        <v>2381119.3724306123</v>
      </c>
      <c r="J819" s="788">
        <f t="shared" si="73"/>
        <v>0</v>
      </c>
      <c r="K819" s="788"/>
      <c r="L819" s="1310"/>
      <c r="M819" s="788">
        <f t="shared" si="74"/>
        <v>0</v>
      </c>
      <c r="N819" s="1310"/>
      <c r="O819" s="788">
        <f t="shared" si="75"/>
        <v>0</v>
      </c>
      <c r="P819" s="788">
        <f t="shared" si="76"/>
        <v>0</v>
      </c>
    </row>
    <row r="820" spans="3:16">
      <c r="C820" s="784">
        <f>IF(D790="","-",+C819+1)</f>
        <v>2041</v>
      </c>
      <c r="D820" s="732">
        <f t="shared" si="77"/>
        <v>12999440.684871789</v>
      </c>
      <c r="E820" s="785">
        <f t="shared" si="78"/>
        <v>829751.53307692311</v>
      </c>
      <c r="F820" s="785">
        <f t="shared" si="71"/>
        <v>12169689.151794866</v>
      </c>
      <c r="G820" s="732">
        <f t="shared" si="72"/>
        <v>12584564.918333327</v>
      </c>
      <c r="H820" s="790">
        <f>+J791*G820+E820</f>
        <v>2285158.4751510029</v>
      </c>
      <c r="I820" s="791">
        <f>+J792*G820+E820</f>
        <v>2285158.4751510029</v>
      </c>
      <c r="J820" s="788">
        <f t="shared" si="73"/>
        <v>0</v>
      </c>
      <c r="K820" s="788"/>
      <c r="L820" s="1310"/>
      <c r="M820" s="788">
        <f t="shared" si="74"/>
        <v>0</v>
      </c>
      <c r="N820" s="1310"/>
      <c r="O820" s="788">
        <f t="shared" si="75"/>
        <v>0</v>
      </c>
      <c r="P820" s="788">
        <f t="shared" si="76"/>
        <v>0</v>
      </c>
    </row>
    <row r="821" spans="3:16">
      <c r="C821" s="784">
        <f>IF(D790="","-",+C820+1)</f>
        <v>2042</v>
      </c>
      <c r="D821" s="732">
        <f t="shared" si="77"/>
        <v>12169689.151794866</v>
      </c>
      <c r="E821" s="785">
        <f t="shared" si="78"/>
        <v>829751.53307692311</v>
      </c>
      <c r="F821" s="785">
        <f t="shared" si="71"/>
        <v>11339937.618717942</v>
      </c>
      <c r="G821" s="732">
        <f t="shared" si="72"/>
        <v>11754813.385256404</v>
      </c>
      <c r="H821" s="790">
        <f>+J791*G821+E821</f>
        <v>2189197.5778713929</v>
      </c>
      <c r="I821" s="791">
        <f>+J792*G821+E821</f>
        <v>2189197.5778713929</v>
      </c>
      <c r="J821" s="788">
        <f t="shared" si="73"/>
        <v>0</v>
      </c>
      <c r="K821" s="788"/>
      <c r="L821" s="1310"/>
      <c r="M821" s="788">
        <f t="shared" si="74"/>
        <v>0</v>
      </c>
      <c r="N821" s="1310"/>
      <c r="O821" s="788">
        <f t="shared" si="75"/>
        <v>0</v>
      </c>
      <c r="P821" s="788">
        <f t="shared" si="76"/>
        <v>0</v>
      </c>
    </row>
    <row r="822" spans="3:16">
      <c r="C822" s="784">
        <f>IF(D790="","-",+C821+1)</f>
        <v>2043</v>
      </c>
      <c r="D822" s="732">
        <f t="shared" si="77"/>
        <v>11339937.618717942</v>
      </c>
      <c r="E822" s="785">
        <f t="shared" si="78"/>
        <v>829751.53307692311</v>
      </c>
      <c r="F822" s="785">
        <f t="shared" si="71"/>
        <v>10510186.085641019</v>
      </c>
      <c r="G822" s="732">
        <f t="shared" si="72"/>
        <v>10925061.852179481</v>
      </c>
      <c r="H822" s="790">
        <f>+J791*G822+E822</f>
        <v>2093236.6805917833</v>
      </c>
      <c r="I822" s="791">
        <f>+J792*G822+E822</f>
        <v>2093236.6805917833</v>
      </c>
      <c r="J822" s="788">
        <f t="shared" si="73"/>
        <v>0</v>
      </c>
      <c r="K822" s="788"/>
      <c r="L822" s="1310"/>
      <c r="M822" s="788">
        <f t="shared" si="74"/>
        <v>0</v>
      </c>
      <c r="N822" s="1310"/>
      <c r="O822" s="788">
        <f t="shared" si="75"/>
        <v>0</v>
      </c>
      <c r="P822" s="788">
        <f t="shared" si="76"/>
        <v>0</v>
      </c>
    </row>
    <row r="823" spans="3:16">
      <c r="C823" s="784">
        <f>IF(D790="","-",+C822+1)</f>
        <v>2044</v>
      </c>
      <c r="D823" s="732">
        <f t="shared" si="77"/>
        <v>10510186.085641019</v>
      </c>
      <c r="E823" s="785">
        <f t="shared" si="78"/>
        <v>829751.53307692311</v>
      </c>
      <c r="F823" s="785">
        <f t="shared" si="71"/>
        <v>9680434.5525640957</v>
      </c>
      <c r="G823" s="732">
        <f t="shared" si="72"/>
        <v>10095310.319102557</v>
      </c>
      <c r="H823" s="790">
        <f>+J791*G823+E823</f>
        <v>1997275.7833121736</v>
      </c>
      <c r="I823" s="791">
        <f>+J792*G823+E823</f>
        <v>1997275.7833121736</v>
      </c>
      <c r="J823" s="788">
        <f t="shared" si="73"/>
        <v>0</v>
      </c>
      <c r="K823" s="788"/>
      <c r="L823" s="1310"/>
      <c r="M823" s="788">
        <f t="shared" si="74"/>
        <v>0</v>
      </c>
      <c r="N823" s="1310"/>
      <c r="O823" s="788">
        <f t="shared" si="75"/>
        <v>0</v>
      </c>
      <c r="P823" s="788">
        <f t="shared" si="76"/>
        <v>0</v>
      </c>
    </row>
    <row r="824" spans="3:16">
      <c r="C824" s="784">
        <f>IF(D790="","-",+C823+1)</f>
        <v>2045</v>
      </c>
      <c r="D824" s="732">
        <f t="shared" si="77"/>
        <v>9680434.5525640957</v>
      </c>
      <c r="E824" s="785">
        <f t="shared" si="78"/>
        <v>829751.53307692311</v>
      </c>
      <c r="F824" s="785">
        <f t="shared" si="71"/>
        <v>8850683.0194871724</v>
      </c>
      <c r="G824" s="732">
        <f t="shared" si="72"/>
        <v>9265558.786025634</v>
      </c>
      <c r="H824" s="790">
        <f>+J791*G824+E824</f>
        <v>1901314.8860325639</v>
      </c>
      <c r="I824" s="791">
        <f>+J792*G824+E824</f>
        <v>1901314.8860325639</v>
      </c>
      <c r="J824" s="788">
        <f t="shared" si="73"/>
        <v>0</v>
      </c>
      <c r="K824" s="788"/>
      <c r="L824" s="1310"/>
      <c r="M824" s="788">
        <f t="shared" si="74"/>
        <v>0</v>
      </c>
      <c r="N824" s="1310"/>
      <c r="O824" s="788">
        <f t="shared" si="75"/>
        <v>0</v>
      </c>
      <c r="P824" s="788">
        <f t="shared" si="76"/>
        <v>0</v>
      </c>
    </row>
    <row r="825" spans="3:16">
      <c r="C825" s="784">
        <f>IF(D790="","-",+C824+1)</f>
        <v>2046</v>
      </c>
      <c r="D825" s="732">
        <f t="shared" si="77"/>
        <v>8850683.0194871724</v>
      </c>
      <c r="E825" s="785">
        <f t="shared" si="78"/>
        <v>829751.53307692311</v>
      </c>
      <c r="F825" s="785">
        <f t="shared" si="71"/>
        <v>8020931.486410249</v>
      </c>
      <c r="G825" s="732">
        <f t="shared" si="72"/>
        <v>8435807.2529487107</v>
      </c>
      <c r="H825" s="790">
        <f>+J791*G825+E825</f>
        <v>1805353.9887529542</v>
      </c>
      <c r="I825" s="791">
        <f>+J792*G825+E825</f>
        <v>1805353.9887529542</v>
      </c>
      <c r="J825" s="788">
        <f t="shared" si="73"/>
        <v>0</v>
      </c>
      <c r="K825" s="788"/>
      <c r="L825" s="1310"/>
      <c r="M825" s="788">
        <f t="shared" si="74"/>
        <v>0</v>
      </c>
      <c r="N825" s="1310"/>
      <c r="O825" s="788">
        <f t="shared" si="75"/>
        <v>0</v>
      </c>
      <c r="P825" s="788">
        <f t="shared" si="76"/>
        <v>0</v>
      </c>
    </row>
    <row r="826" spans="3:16">
      <c r="C826" s="784">
        <f>IF(D790="","-",+C825+1)</f>
        <v>2047</v>
      </c>
      <c r="D826" s="732">
        <f t="shared" si="77"/>
        <v>8020931.486410249</v>
      </c>
      <c r="E826" s="785">
        <f t="shared" si="78"/>
        <v>829751.53307692311</v>
      </c>
      <c r="F826" s="785">
        <f t="shared" si="71"/>
        <v>7191179.9533333257</v>
      </c>
      <c r="G826" s="732">
        <f t="shared" si="72"/>
        <v>7606055.7198717874</v>
      </c>
      <c r="H826" s="790">
        <f>+J791*G826+E826</f>
        <v>1709393.0914733445</v>
      </c>
      <c r="I826" s="791">
        <f>+J792*G826+E826</f>
        <v>1709393.0914733445</v>
      </c>
      <c r="J826" s="788">
        <f t="shared" si="73"/>
        <v>0</v>
      </c>
      <c r="K826" s="788"/>
      <c r="L826" s="1310"/>
      <c r="M826" s="788">
        <f t="shared" si="74"/>
        <v>0</v>
      </c>
      <c r="N826" s="1310"/>
      <c r="O826" s="788">
        <f t="shared" si="75"/>
        <v>0</v>
      </c>
      <c r="P826" s="788">
        <f t="shared" si="76"/>
        <v>0</v>
      </c>
    </row>
    <row r="827" spans="3:16">
      <c r="C827" s="784">
        <f>IF(D790="","-",+C826+1)</f>
        <v>2048</v>
      </c>
      <c r="D827" s="732">
        <f t="shared" si="77"/>
        <v>7191179.9533333257</v>
      </c>
      <c r="E827" s="785">
        <f t="shared" si="78"/>
        <v>829751.53307692311</v>
      </c>
      <c r="F827" s="785">
        <f t="shared" si="71"/>
        <v>6361428.4202564023</v>
      </c>
      <c r="G827" s="732">
        <f t="shared" si="72"/>
        <v>6776304.186794864</v>
      </c>
      <c r="H827" s="790">
        <f>+J791*G827+E827</f>
        <v>1613432.1941937348</v>
      </c>
      <c r="I827" s="791">
        <f>+J792*G827+E827</f>
        <v>1613432.1941937348</v>
      </c>
      <c r="J827" s="788">
        <f t="shared" si="73"/>
        <v>0</v>
      </c>
      <c r="K827" s="788"/>
      <c r="L827" s="1310"/>
      <c r="M827" s="788">
        <f t="shared" si="74"/>
        <v>0</v>
      </c>
      <c r="N827" s="1310"/>
      <c r="O827" s="788">
        <f t="shared" si="75"/>
        <v>0</v>
      </c>
      <c r="P827" s="788">
        <f t="shared" si="76"/>
        <v>0</v>
      </c>
    </row>
    <row r="828" spans="3:16">
      <c r="C828" s="784">
        <f>IF(D790="","-",+C827+1)</f>
        <v>2049</v>
      </c>
      <c r="D828" s="732">
        <f t="shared" si="77"/>
        <v>6361428.4202564023</v>
      </c>
      <c r="E828" s="785">
        <f t="shared" si="78"/>
        <v>829751.53307692311</v>
      </c>
      <c r="F828" s="785">
        <f t="shared" si="71"/>
        <v>5531676.887179479</v>
      </c>
      <c r="G828" s="732">
        <f t="shared" si="72"/>
        <v>5946552.6537179407</v>
      </c>
      <c r="H828" s="790">
        <f>+J791*G828+E828</f>
        <v>1517471.2969141249</v>
      </c>
      <c r="I828" s="791">
        <f>+J792*G828+E828</f>
        <v>1517471.2969141249</v>
      </c>
      <c r="J828" s="788">
        <f t="shared" si="73"/>
        <v>0</v>
      </c>
      <c r="K828" s="788"/>
      <c r="L828" s="1310"/>
      <c r="M828" s="788">
        <f t="shared" si="74"/>
        <v>0</v>
      </c>
      <c r="N828" s="1310"/>
      <c r="O828" s="788">
        <f t="shared" si="75"/>
        <v>0</v>
      </c>
      <c r="P828" s="788">
        <f t="shared" si="76"/>
        <v>0</v>
      </c>
    </row>
    <row r="829" spans="3:16">
      <c r="C829" s="784">
        <f>IF(D790="","-",+C828+1)</f>
        <v>2050</v>
      </c>
      <c r="D829" s="732">
        <f t="shared" si="77"/>
        <v>5531676.887179479</v>
      </c>
      <c r="E829" s="785">
        <f t="shared" si="78"/>
        <v>829751.53307692311</v>
      </c>
      <c r="F829" s="785">
        <f t="shared" si="71"/>
        <v>4701925.3541025557</v>
      </c>
      <c r="G829" s="732">
        <f t="shared" si="72"/>
        <v>5116801.1206410173</v>
      </c>
      <c r="H829" s="790">
        <f>+J791*G829+E829</f>
        <v>1421510.3996345154</v>
      </c>
      <c r="I829" s="791">
        <f>+J792*G829+E829</f>
        <v>1421510.3996345154</v>
      </c>
      <c r="J829" s="788">
        <f t="shared" si="73"/>
        <v>0</v>
      </c>
      <c r="K829" s="788"/>
      <c r="L829" s="1310"/>
      <c r="M829" s="788">
        <f t="shared" si="74"/>
        <v>0</v>
      </c>
      <c r="N829" s="1310"/>
      <c r="O829" s="788">
        <f t="shared" si="75"/>
        <v>0</v>
      </c>
      <c r="P829" s="788">
        <f t="shared" si="76"/>
        <v>0</v>
      </c>
    </row>
    <row r="830" spans="3:16">
      <c r="C830" s="784">
        <f>IF(D790="","-",+C829+1)</f>
        <v>2051</v>
      </c>
      <c r="D830" s="732">
        <f t="shared" si="77"/>
        <v>4701925.3541025557</v>
      </c>
      <c r="E830" s="785">
        <f t="shared" si="78"/>
        <v>829751.53307692311</v>
      </c>
      <c r="F830" s="785">
        <f t="shared" si="71"/>
        <v>3872173.8210256323</v>
      </c>
      <c r="G830" s="732">
        <f t="shared" si="72"/>
        <v>4287049.587564094</v>
      </c>
      <c r="H830" s="790">
        <f>+J791*G830+E830</f>
        <v>1325549.5023549055</v>
      </c>
      <c r="I830" s="791">
        <f>+J792*G830+E830</f>
        <v>1325549.5023549055</v>
      </c>
      <c r="J830" s="788">
        <f t="shared" si="73"/>
        <v>0</v>
      </c>
      <c r="K830" s="788"/>
      <c r="L830" s="1310"/>
      <c r="M830" s="788">
        <f t="shared" si="74"/>
        <v>0</v>
      </c>
      <c r="N830" s="1310"/>
      <c r="O830" s="788">
        <f t="shared" si="75"/>
        <v>0</v>
      </c>
      <c r="P830" s="788">
        <f t="shared" si="76"/>
        <v>0</v>
      </c>
    </row>
    <row r="831" spans="3:16">
      <c r="C831" s="784">
        <f>IF(D790="","-",+C830+1)</f>
        <v>2052</v>
      </c>
      <c r="D831" s="732">
        <f t="shared" si="77"/>
        <v>3872173.8210256323</v>
      </c>
      <c r="E831" s="785">
        <f t="shared" si="78"/>
        <v>829751.53307692311</v>
      </c>
      <c r="F831" s="785">
        <f t="shared" si="71"/>
        <v>3042422.287948709</v>
      </c>
      <c r="G831" s="732">
        <f t="shared" si="72"/>
        <v>3457298.0544871707</v>
      </c>
      <c r="H831" s="790">
        <f>+J791*G831+E831</f>
        <v>1229588.6050752958</v>
      </c>
      <c r="I831" s="791">
        <f>+J792*G831+E831</f>
        <v>1229588.6050752958</v>
      </c>
      <c r="J831" s="788">
        <f t="shared" si="73"/>
        <v>0</v>
      </c>
      <c r="K831" s="788"/>
      <c r="L831" s="1310"/>
      <c r="M831" s="788">
        <f t="shared" si="74"/>
        <v>0</v>
      </c>
      <c r="N831" s="1310"/>
      <c r="O831" s="788">
        <f t="shared" si="75"/>
        <v>0</v>
      </c>
      <c r="P831" s="788">
        <f t="shared" si="76"/>
        <v>0</v>
      </c>
    </row>
    <row r="832" spans="3:16">
      <c r="C832" s="784">
        <f>IF(D790="","-",+C831+1)</f>
        <v>2053</v>
      </c>
      <c r="D832" s="732">
        <f t="shared" si="77"/>
        <v>3042422.287948709</v>
      </c>
      <c r="E832" s="785">
        <f t="shared" si="78"/>
        <v>829751.53307692311</v>
      </c>
      <c r="F832" s="785">
        <f t="shared" si="71"/>
        <v>2212670.7548717856</v>
      </c>
      <c r="G832" s="732">
        <f t="shared" si="72"/>
        <v>2627546.5214102473</v>
      </c>
      <c r="H832" s="790">
        <f>+J791*G832+E832</f>
        <v>1133627.7077956861</v>
      </c>
      <c r="I832" s="791">
        <f>+J792*G832+E832</f>
        <v>1133627.7077956861</v>
      </c>
      <c r="J832" s="788">
        <f t="shared" si="73"/>
        <v>0</v>
      </c>
      <c r="K832" s="788"/>
      <c r="L832" s="1310"/>
      <c r="M832" s="788">
        <f t="shared" si="74"/>
        <v>0</v>
      </c>
      <c r="N832" s="1310"/>
      <c r="O832" s="788">
        <f t="shared" si="75"/>
        <v>0</v>
      </c>
      <c r="P832" s="788">
        <f t="shared" si="76"/>
        <v>0</v>
      </c>
    </row>
    <row r="833" spans="3:16">
      <c r="C833" s="784">
        <f>IF(D790="","-",+C832+1)</f>
        <v>2054</v>
      </c>
      <c r="D833" s="732">
        <f t="shared" si="77"/>
        <v>2212670.7548717856</v>
      </c>
      <c r="E833" s="785">
        <f t="shared" si="78"/>
        <v>829751.53307692311</v>
      </c>
      <c r="F833" s="785">
        <f t="shared" si="71"/>
        <v>1382919.2217948625</v>
      </c>
      <c r="G833" s="732">
        <f t="shared" si="72"/>
        <v>1797794.988333324</v>
      </c>
      <c r="H833" s="790">
        <f>+J791*G833+E833</f>
        <v>1037666.8105160764</v>
      </c>
      <c r="I833" s="791">
        <f>+J792*G833+E833</f>
        <v>1037666.8105160764</v>
      </c>
      <c r="J833" s="788">
        <f t="shared" si="73"/>
        <v>0</v>
      </c>
      <c r="K833" s="788"/>
      <c r="L833" s="1310"/>
      <c r="M833" s="788">
        <f t="shared" si="74"/>
        <v>0</v>
      </c>
      <c r="N833" s="1310"/>
      <c r="O833" s="788">
        <f t="shared" si="75"/>
        <v>0</v>
      </c>
      <c r="P833" s="788">
        <f t="shared" si="76"/>
        <v>0</v>
      </c>
    </row>
    <row r="834" spans="3:16">
      <c r="C834" s="784">
        <f>IF(D790="","-",+C833+1)</f>
        <v>2055</v>
      </c>
      <c r="D834" s="732">
        <f t="shared" si="77"/>
        <v>1382919.2217948625</v>
      </c>
      <c r="E834" s="785">
        <f t="shared" si="78"/>
        <v>829751.53307692311</v>
      </c>
      <c r="F834" s="785">
        <f t="shared" si="71"/>
        <v>553167.68871793943</v>
      </c>
      <c r="G834" s="732">
        <f t="shared" si="72"/>
        <v>968043.45525640098</v>
      </c>
      <c r="H834" s="790">
        <f>+J791*G834+E834</f>
        <v>941705.9132364667</v>
      </c>
      <c r="I834" s="791">
        <f>+J792*G834+E834</f>
        <v>941705.9132364667</v>
      </c>
      <c r="J834" s="788">
        <f t="shared" si="73"/>
        <v>0</v>
      </c>
      <c r="K834" s="788"/>
      <c r="L834" s="1310"/>
      <c r="M834" s="788">
        <f t="shared" si="74"/>
        <v>0</v>
      </c>
      <c r="N834" s="1310"/>
      <c r="O834" s="788">
        <f t="shared" si="75"/>
        <v>0</v>
      </c>
      <c r="P834" s="788">
        <f t="shared" si="76"/>
        <v>0</v>
      </c>
    </row>
    <row r="835" spans="3:16">
      <c r="C835" s="784">
        <f>IF(D790="","-",+C834+1)</f>
        <v>2056</v>
      </c>
      <c r="D835" s="732">
        <f t="shared" si="77"/>
        <v>553167.68871793943</v>
      </c>
      <c r="E835" s="785">
        <f t="shared" si="78"/>
        <v>553167.68871793943</v>
      </c>
      <c r="F835" s="785">
        <f t="shared" si="71"/>
        <v>0</v>
      </c>
      <c r="G835" s="732">
        <f t="shared" si="72"/>
        <v>276583.84435896971</v>
      </c>
      <c r="H835" s="790">
        <f>+J791*G835+E835</f>
        <v>585154.65447780874</v>
      </c>
      <c r="I835" s="791">
        <f>+J792*G835+E835</f>
        <v>585154.65447780874</v>
      </c>
      <c r="J835" s="788">
        <f t="shared" si="73"/>
        <v>0</v>
      </c>
      <c r="K835" s="788"/>
      <c r="L835" s="1310"/>
      <c r="M835" s="788">
        <f t="shared" si="74"/>
        <v>0</v>
      </c>
      <c r="N835" s="1310"/>
      <c r="O835" s="788">
        <f t="shared" si="75"/>
        <v>0</v>
      </c>
      <c r="P835" s="788">
        <f t="shared" si="76"/>
        <v>0</v>
      </c>
    </row>
    <row r="836" spans="3:16">
      <c r="C836" s="784">
        <f>IF(D790="","-",+C835+1)</f>
        <v>2057</v>
      </c>
      <c r="D836" s="732">
        <f t="shared" si="77"/>
        <v>0</v>
      </c>
      <c r="E836" s="785">
        <f t="shared" si="78"/>
        <v>0</v>
      </c>
      <c r="F836" s="785">
        <f t="shared" si="71"/>
        <v>0</v>
      </c>
      <c r="G836" s="732">
        <f t="shared" si="72"/>
        <v>0</v>
      </c>
      <c r="H836" s="790">
        <f>+J791*G836+E836</f>
        <v>0</v>
      </c>
      <c r="I836" s="791">
        <f>+J792*G836+E836</f>
        <v>0</v>
      </c>
      <c r="J836" s="788">
        <f t="shared" si="73"/>
        <v>0</v>
      </c>
      <c r="K836" s="788"/>
      <c r="L836" s="1310"/>
      <c r="M836" s="788">
        <f t="shared" si="74"/>
        <v>0</v>
      </c>
      <c r="N836" s="1310"/>
      <c r="O836" s="788">
        <f t="shared" si="75"/>
        <v>0</v>
      </c>
      <c r="P836" s="788">
        <f t="shared" si="76"/>
        <v>0</v>
      </c>
    </row>
    <row r="837" spans="3:16">
      <c r="C837" s="784">
        <f>IF(D790="","-",+C836+1)</f>
        <v>2058</v>
      </c>
      <c r="D837" s="732">
        <f t="shared" si="77"/>
        <v>0</v>
      </c>
      <c r="E837" s="785">
        <f t="shared" si="78"/>
        <v>0</v>
      </c>
      <c r="F837" s="785">
        <f t="shared" si="71"/>
        <v>0</v>
      </c>
      <c r="G837" s="732">
        <f t="shared" si="72"/>
        <v>0</v>
      </c>
      <c r="H837" s="790">
        <f>+J791*G837+E837</f>
        <v>0</v>
      </c>
      <c r="I837" s="791">
        <f>+J792*G837+E837</f>
        <v>0</v>
      </c>
      <c r="J837" s="788">
        <f t="shared" si="73"/>
        <v>0</v>
      </c>
      <c r="K837" s="788"/>
      <c r="L837" s="1310"/>
      <c r="M837" s="788">
        <f t="shared" si="74"/>
        <v>0</v>
      </c>
      <c r="N837" s="1310"/>
      <c r="O837" s="788">
        <f t="shared" si="75"/>
        <v>0</v>
      </c>
      <c r="P837" s="788">
        <f t="shared" si="76"/>
        <v>0</v>
      </c>
    </row>
    <row r="838" spans="3:16">
      <c r="C838" s="784">
        <f>IF(D790="","-",+C837+1)</f>
        <v>2059</v>
      </c>
      <c r="D838" s="732">
        <f t="shared" si="77"/>
        <v>0</v>
      </c>
      <c r="E838" s="785">
        <f t="shared" si="78"/>
        <v>0</v>
      </c>
      <c r="F838" s="785">
        <f t="shared" si="71"/>
        <v>0</v>
      </c>
      <c r="G838" s="732">
        <f t="shared" si="72"/>
        <v>0</v>
      </c>
      <c r="H838" s="790">
        <f>+J791*G838+E838</f>
        <v>0</v>
      </c>
      <c r="I838" s="791">
        <f>+J792*G838+E838</f>
        <v>0</v>
      </c>
      <c r="J838" s="788">
        <f t="shared" si="73"/>
        <v>0</v>
      </c>
      <c r="K838" s="788"/>
      <c r="L838" s="1310"/>
      <c r="M838" s="788">
        <f t="shared" si="74"/>
        <v>0</v>
      </c>
      <c r="N838" s="1310"/>
      <c r="O838" s="788">
        <f t="shared" si="75"/>
        <v>0</v>
      </c>
      <c r="P838" s="788">
        <f t="shared" si="76"/>
        <v>0</v>
      </c>
    </row>
    <row r="839" spans="3:16">
      <c r="C839" s="784">
        <f>IF(D790="","-",+C838+1)</f>
        <v>2060</v>
      </c>
      <c r="D839" s="732">
        <f t="shared" si="77"/>
        <v>0</v>
      </c>
      <c r="E839" s="785">
        <f t="shared" si="78"/>
        <v>0</v>
      </c>
      <c r="F839" s="785">
        <f t="shared" si="71"/>
        <v>0</v>
      </c>
      <c r="G839" s="732">
        <f t="shared" si="72"/>
        <v>0</v>
      </c>
      <c r="H839" s="790">
        <f>+J791*G839+E839</f>
        <v>0</v>
      </c>
      <c r="I839" s="791">
        <f>+J792*G839+E839</f>
        <v>0</v>
      </c>
      <c r="J839" s="788">
        <f t="shared" si="73"/>
        <v>0</v>
      </c>
      <c r="K839" s="788"/>
      <c r="L839" s="1310"/>
      <c r="M839" s="788">
        <f t="shared" si="74"/>
        <v>0</v>
      </c>
      <c r="N839" s="1310"/>
      <c r="O839" s="788">
        <f t="shared" si="75"/>
        <v>0</v>
      </c>
      <c r="P839" s="788">
        <f t="shared" si="76"/>
        <v>0</v>
      </c>
    </row>
    <row r="840" spans="3:16">
      <c r="C840" s="784">
        <f>IF(D790="","-",+C839+1)</f>
        <v>2061</v>
      </c>
      <c r="D840" s="732">
        <f t="shared" si="77"/>
        <v>0</v>
      </c>
      <c r="E840" s="785">
        <f t="shared" si="78"/>
        <v>0</v>
      </c>
      <c r="F840" s="785">
        <f t="shared" si="71"/>
        <v>0</v>
      </c>
      <c r="G840" s="732">
        <f t="shared" si="72"/>
        <v>0</v>
      </c>
      <c r="H840" s="790">
        <f>+J791*G840+E840</f>
        <v>0</v>
      </c>
      <c r="I840" s="791">
        <f>+J792*G840+E840</f>
        <v>0</v>
      </c>
      <c r="J840" s="788">
        <f t="shared" si="73"/>
        <v>0</v>
      </c>
      <c r="K840" s="788"/>
      <c r="L840" s="1310"/>
      <c r="M840" s="788">
        <f t="shared" si="74"/>
        <v>0</v>
      </c>
      <c r="N840" s="1310"/>
      <c r="O840" s="788">
        <f t="shared" si="75"/>
        <v>0</v>
      </c>
      <c r="P840" s="788">
        <f t="shared" si="76"/>
        <v>0</v>
      </c>
    </row>
    <row r="841" spans="3:16">
      <c r="C841" s="784">
        <f>IF(D790="","-",+C840+1)</f>
        <v>2062</v>
      </c>
      <c r="D841" s="732">
        <f t="shared" si="77"/>
        <v>0</v>
      </c>
      <c r="E841" s="785">
        <f t="shared" si="78"/>
        <v>0</v>
      </c>
      <c r="F841" s="785">
        <f t="shared" si="71"/>
        <v>0</v>
      </c>
      <c r="G841" s="732">
        <f t="shared" si="72"/>
        <v>0</v>
      </c>
      <c r="H841" s="790">
        <f>+J791*G841+E841</f>
        <v>0</v>
      </c>
      <c r="I841" s="791">
        <f>+J792*G841+E841</f>
        <v>0</v>
      </c>
      <c r="J841" s="788">
        <f t="shared" si="73"/>
        <v>0</v>
      </c>
      <c r="K841" s="788"/>
      <c r="L841" s="1310"/>
      <c r="M841" s="788">
        <f t="shared" si="74"/>
        <v>0</v>
      </c>
      <c r="N841" s="1310"/>
      <c r="O841" s="788">
        <f t="shared" si="75"/>
        <v>0</v>
      </c>
      <c r="P841" s="788">
        <f t="shared" si="76"/>
        <v>0</v>
      </c>
    </row>
    <row r="842" spans="3:16">
      <c r="C842" s="784">
        <f>IF(D790="","-",+C841+1)</f>
        <v>2063</v>
      </c>
      <c r="D842" s="732">
        <f t="shared" si="77"/>
        <v>0</v>
      </c>
      <c r="E842" s="785">
        <f t="shared" si="78"/>
        <v>0</v>
      </c>
      <c r="F842" s="785">
        <f t="shared" si="71"/>
        <v>0</v>
      </c>
      <c r="G842" s="732">
        <f t="shared" si="72"/>
        <v>0</v>
      </c>
      <c r="H842" s="790">
        <f>+J791*G842+E842</f>
        <v>0</v>
      </c>
      <c r="I842" s="791">
        <f>+J792*G842+E842</f>
        <v>0</v>
      </c>
      <c r="J842" s="788">
        <f t="shared" si="73"/>
        <v>0</v>
      </c>
      <c r="K842" s="788"/>
      <c r="L842" s="1310"/>
      <c r="M842" s="788">
        <f t="shared" si="74"/>
        <v>0</v>
      </c>
      <c r="N842" s="1310"/>
      <c r="O842" s="788">
        <f t="shared" si="75"/>
        <v>0</v>
      </c>
      <c r="P842" s="788">
        <f t="shared" si="76"/>
        <v>0</v>
      </c>
    </row>
    <row r="843" spans="3:16">
      <c r="C843" s="784">
        <f>IF(D790="","-",+C842+1)</f>
        <v>2064</v>
      </c>
      <c r="D843" s="732">
        <f t="shared" si="77"/>
        <v>0</v>
      </c>
      <c r="E843" s="785">
        <f t="shared" si="78"/>
        <v>0</v>
      </c>
      <c r="F843" s="785">
        <f t="shared" si="71"/>
        <v>0</v>
      </c>
      <c r="G843" s="732">
        <f t="shared" si="72"/>
        <v>0</v>
      </c>
      <c r="H843" s="790">
        <f>+J791*G843+E843</f>
        <v>0</v>
      </c>
      <c r="I843" s="791">
        <f>+J792*G843+E843</f>
        <v>0</v>
      </c>
      <c r="J843" s="788">
        <f t="shared" si="73"/>
        <v>0</v>
      </c>
      <c r="K843" s="788"/>
      <c r="L843" s="1310"/>
      <c r="M843" s="788">
        <f t="shared" si="74"/>
        <v>0</v>
      </c>
      <c r="N843" s="1310"/>
      <c r="O843" s="788">
        <f t="shared" si="75"/>
        <v>0</v>
      </c>
      <c r="P843" s="788">
        <f t="shared" si="76"/>
        <v>0</v>
      </c>
    </row>
    <row r="844" spans="3:16">
      <c r="C844" s="784">
        <f>IF(D790="","-",+C843+1)</f>
        <v>2065</v>
      </c>
      <c r="D844" s="732">
        <f t="shared" si="77"/>
        <v>0</v>
      </c>
      <c r="E844" s="785">
        <f t="shared" si="78"/>
        <v>0</v>
      </c>
      <c r="F844" s="785">
        <f t="shared" si="71"/>
        <v>0</v>
      </c>
      <c r="G844" s="732">
        <f t="shared" si="72"/>
        <v>0</v>
      </c>
      <c r="H844" s="790">
        <f>+J791*G844+E844</f>
        <v>0</v>
      </c>
      <c r="I844" s="791">
        <f>+J792*G844+E844</f>
        <v>0</v>
      </c>
      <c r="J844" s="788">
        <f t="shared" si="73"/>
        <v>0</v>
      </c>
      <c r="K844" s="788"/>
      <c r="L844" s="1310"/>
      <c r="M844" s="788">
        <f t="shared" si="74"/>
        <v>0</v>
      </c>
      <c r="N844" s="1310"/>
      <c r="O844" s="788">
        <f t="shared" si="75"/>
        <v>0</v>
      </c>
      <c r="P844" s="788">
        <f t="shared" si="76"/>
        <v>0</v>
      </c>
    </row>
    <row r="845" spans="3:16">
      <c r="C845" s="784">
        <f>IF(D790="","-",+C844+1)</f>
        <v>2066</v>
      </c>
      <c r="D845" s="732">
        <f t="shared" si="77"/>
        <v>0</v>
      </c>
      <c r="E845" s="785">
        <f t="shared" si="78"/>
        <v>0</v>
      </c>
      <c r="F845" s="785">
        <f t="shared" si="71"/>
        <v>0</v>
      </c>
      <c r="G845" s="732">
        <f t="shared" si="72"/>
        <v>0</v>
      </c>
      <c r="H845" s="790">
        <f>+J791*G845+E845</f>
        <v>0</v>
      </c>
      <c r="I845" s="791">
        <f>+J792*G845+E845</f>
        <v>0</v>
      </c>
      <c r="J845" s="788">
        <f t="shared" si="73"/>
        <v>0</v>
      </c>
      <c r="K845" s="788"/>
      <c r="L845" s="1310"/>
      <c r="M845" s="788">
        <f t="shared" si="74"/>
        <v>0</v>
      </c>
      <c r="N845" s="1310"/>
      <c r="O845" s="788">
        <f t="shared" si="75"/>
        <v>0</v>
      </c>
      <c r="P845" s="788">
        <f t="shared" si="76"/>
        <v>0</v>
      </c>
    </row>
    <row r="846" spans="3:16">
      <c r="C846" s="784">
        <f>IF(D790="","-",+C845+1)</f>
        <v>2067</v>
      </c>
      <c r="D846" s="732">
        <f t="shared" si="77"/>
        <v>0</v>
      </c>
      <c r="E846" s="785">
        <f t="shared" si="78"/>
        <v>0</v>
      </c>
      <c r="F846" s="785">
        <f t="shared" si="71"/>
        <v>0</v>
      </c>
      <c r="G846" s="732">
        <f t="shared" si="72"/>
        <v>0</v>
      </c>
      <c r="H846" s="790">
        <f>+J791*G846+E846</f>
        <v>0</v>
      </c>
      <c r="I846" s="791">
        <f>+J792*G846+E846</f>
        <v>0</v>
      </c>
      <c r="J846" s="788">
        <f t="shared" si="73"/>
        <v>0</v>
      </c>
      <c r="K846" s="788"/>
      <c r="L846" s="1310"/>
      <c r="M846" s="788">
        <f t="shared" si="74"/>
        <v>0</v>
      </c>
      <c r="N846" s="1310"/>
      <c r="O846" s="788">
        <f t="shared" si="75"/>
        <v>0</v>
      </c>
      <c r="P846" s="788">
        <f t="shared" si="76"/>
        <v>0</v>
      </c>
    </row>
    <row r="847" spans="3:16">
      <c r="C847" s="784">
        <f>IF(D790="","-",+C846+1)</f>
        <v>2068</v>
      </c>
      <c r="D847" s="732">
        <f t="shared" si="77"/>
        <v>0</v>
      </c>
      <c r="E847" s="785">
        <f t="shared" si="78"/>
        <v>0</v>
      </c>
      <c r="F847" s="785">
        <f t="shared" si="71"/>
        <v>0</v>
      </c>
      <c r="G847" s="732">
        <f t="shared" si="72"/>
        <v>0</v>
      </c>
      <c r="H847" s="790">
        <f>+J791*G847+E847</f>
        <v>0</v>
      </c>
      <c r="I847" s="791">
        <f>+J792*G847+E847</f>
        <v>0</v>
      </c>
      <c r="J847" s="788">
        <f t="shared" si="73"/>
        <v>0</v>
      </c>
      <c r="K847" s="788"/>
      <c r="L847" s="1310"/>
      <c r="M847" s="788">
        <f t="shared" si="74"/>
        <v>0</v>
      </c>
      <c r="N847" s="1310"/>
      <c r="O847" s="788">
        <f t="shared" si="75"/>
        <v>0</v>
      </c>
      <c r="P847" s="788">
        <f t="shared" si="76"/>
        <v>0</v>
      </c>
    </row>
    <row r="848" spans="3:16">
      <c r="C848" s="784">
        <f>IF(D790="","-",+C847+1)</f>
        <v>2069</v>
      </c>
      <c r="D848" s="732">
        <f t="shared" si="77"/>
        <v>0</v>
      </c>
      <c r="E848" s="785">
        <f t="shared" si="78"/>
        <v>0</v>
      </c>
      <c r="F848" s="785">
        <f t="shared" si="71"/>
        <v>0</v>
      </c>
      <c r="G848" s="732">
        <f t="shared" si="72"/>
        <v>0</v>
      </c>
      <c r="H848" s="790">
        <f>+J791*G848+E848</f>
        <v>0</v>
      </c>
      <c r="I848" s="791">
        <f>+J792*G848+E848</f>
        <v>0</v>
      </c>
      <c r="J848" s="788">
        <f t="shared" si="73"/>
        <v>0</v>
      </c>
      <c r="K848" s="788"/>
      <c r="L848" s="1310"/>
      <c r="M848" s="788">
        <f t="shared" si="74"/>
        <v>0</v>
      </c>
      <c r="N848" s="1310"/>
      <c r="O848" s="788">
        <f t="shared" si="75"/>
        <v>0</v>
      </c>
      <c r="P848" s="788">
        <f t="shared" si="76"/>
        <v>0</v>
      </c>
    </row>
    <row r="849" spans="1:17">
      <c r="C849" s="784">
        <f>IF(D790="","-",+C848+1)</f>
        <v>2070</v>
      </c>
      <c r="D849" s="732">
        <f t="shared" si="77"/>
        <v>0</v>
      </c>
      <c r="E849" s="785">
        <f t="shared" si="78"/>
        <v>0</v>
      </c>
      <c r="F849" s="785">
        <f t="shared" si="71"/>
        <v>0</v>
      </c>
      <c r="G849" s="732">
        <f t="shared" si="72"/>
        <v>0</v>
      </c>
      <c r="H849" s="790">
        <f>+J791*G849+E849</f>
        <v>0</v>
      </c>
      <c r="I849" s="791">
        <f>+J792*G849+E849</f>
        <v>0</v>
      </c>
      <c r="J849" s="788">
        <f t="shared" si="73"/>
        <v>0</v>
      </c>
      <c r="K849" s="788"/>
      <c r="L849" s="1310"/>
      <c r="M849" s="788">
        <f t="shared" si="74"/>
        <v>0</v>
      </c>
      <c r="N849" s="1310"/>
      <c r="O849" s="788">
        <f t="shared" si="75"/>
        <v>0</v>
      </c>
      <c r="P849" s="788">
        <f t="shared" si="76"/>
        <v>0</v>
      </c>
    </row>
    <row r="850" spans="1:17">
      <c r="C850" s="784">
        <f>IF(D790="","-",+C849+1)</f>
        <v>2071</v>
      </c>
      <c r="D850" s="732">
        <f t="shared" si="77"/>
        <v>0</v>
      </c>
      <c r="E850" s="785">
        <f t="shared" si="78"/>
        <v>0</v>
      </c>
      <c r="F850" s="785">
        <f t="shared" si="71"/>
        <v>0</v>
      </c>
      <c r="G850" s="732">
        <f t="shared" si="72"/>
        <v>0</v>
      </c>
      <c r="H850" s="790">
        <f>+J791*G850+E850</f>
        <v>0</v>
      </c>
      <c r="I850" s="791">
        <f>+J792*G850+E850</f>
        <v>0</v>
      </c>
      <c r="J850" s="788">
        <f t="shared" si="73"/>
        <v>0</v>
      </c>
      <c r="K850" s="788"/>
      <c r="L850" s="1310"/>
      <c r="M850" s="788">
        <f t="shared" si="74"/>
        <v>0</v>
      </c>
      <c r="N850" s="1310"/>
      <c r="O850" s="788">
        <f t="shared" si="75"/>
        <v>0</v>
      </c>
      <c r="P850" s="788">
        <f t="shared" si="76"/>
        <v>0</v>
      </c>
    </row>
    <row r="851" spans="1:17">
      <c r="C851" s="784">
        <f>IF(D790="","-",+C850+1)</f>
        <v>2072</v>
      </c>
      <c r="D851" s="732">
        <f t="shared" si="77"/>
        <v>0</v>
      </c>
      <c r="E851" s="785">
        <f t="shared" si="78"/>
        <v>0</v>
      </c>
      <c r="F851" s="785">
        <f t="shared" si="71"/>
        <v>0</v>
      </c>
      <c r="G851" s="732">
        <f t="shared" si="72"/>
        <v>0</v>
      </c>
      <c r="H851" s="790">
        <f>+J791*G851+E851</f>
        <v>0</v>
      </c>
      <c r="I851" s="791">
        <f>+J792*G851+E851</f>
        <v>0</v>
      </c>
      <c r="J851" s="788">
        <f t="shared" si="73"/>
        <v>0</v>
      </c>
      <c r="K851" s="788"/>
      <c r="L851" s="1310"/>
      <c r="M851" s="788">
        <f t="shared" si="74"/>
        <v>0</v>
      </c>
      <c r="N851" s="1310"/>
      <c r="O851" s="788">
        <f t="shared" si="75"/>
        <v>0</v>
      </c>
      <c r="P851" s="788">
        <f t="shared" si="76"/>
        <v>0</v>
      </c>
    </row>
    <row r="852" spans="1:17">
      <c r="C852" s="784">
        <f>IF(D790="","-",+C851+1)</f>
        <v>2073</v>
      </c>
      <c r="D852" s="732">
        <f t="shared" si="77"/>
        <v>0</v>
      </c>
      <c r="E852" s="785">
        <f t="shared" si="78"/>
        <v>0</v>
      </c>
      <c r="F852" s="785">
        <f t="shared" si="71"/>
        <v>0</v>
      </c>
      <c r="G852" s="732">
        <f t="shared" si="72"/>
        <v>0</v>
      </c>
      <c r="H852" s="790">
        <f>+J791*G852+E852</f>
        <v>0</v>
      </c>
      <c r="I852" s="791">
        <f>+J792*G852+E852</f>
        <v>0</v>
      </c>
      <c r="J852" s="788">
        <f t="shared" si="73"/>
        <v>0</v>
      </c>
      <c r="K852" s="788"/>
      <c r="L852" s="1310"/>
      <c r="M852" s="788">
        <f t="shared" si="74"/>
        <v>0</v>
      </c>
      <c r="N852" s="1310"/>
      <c r="O852" s="788">
        <f t="shared" si="75"/>
        <v>0</v>
      </c>
      <c r="P852" s="788">
        <f t="shared" si="76"/>
        <v>0</v>
      </c>
    </row>
    <row r="853" spans="1:17">
      <c r="C853" s="784">
        <f>IF(D790="","-",+C852+1)</f>
        <v>2074</v>
      </c>
      <c r="D853" s="732">
        <f t="shared" si="77"/>
        <v>0</v>
      </c>
      <c r="E853" s="785">
        <f t="shared" si="78"/>
        <v>0</v>
      </c>
      <c r="F853" s="785">
        <f t="shared" si="71"/>
        <v>0</v>
      </c>
      <c r="G853" s="732">
        <f t="shared" si="72"/>
        <v>0</v>
      </c>
      <c r="H853" s="790">
        <f>+J791*G853+E853</f>
        <v>0</v>
      </c>
      <c r="I853" s="791">
        <f>+J792*G853+E853</f>
        <v>0</v>
      </c>
      <c r="J853" s="788">
        <f t="shared" si="73"/>
        <v>0</v>
      </c>
      <c r="K853" s="788"/>
      <c r="L853" s="1310"/>
      <c r="M853" s="788">
        <f t="shared" si="74"/>
        <v>0</v>
      </c>
      <c r="N853" s="1310"/>
      <c r="O853" s="788">
        <f t="shared" si="75"/>
        <v>0</v>
      </c>
      <c r="P853" s="788">
        <f t="shared" si="76"/>
        <v>0</v>
      </c>
    </row>
    <row r="854" spans="1:17">
      <c r="C854" s="784">
        <f>IF(D790="","-",+C853+1)</f>
        <v>2075</v>
      </c>
      <c r="D854" s="732">
        <f t="shared" si="77"/>
        <v>0</v>
      </c>
      <c r="E854" s="785">
        <f t="shared" si="78"/>
        <v>0</v>
      </c>
      <c r="F854" s="785">
        <f t="shared" si="71"/>
        <v>0</v>
      </c>
      <c r="G854" s="732">
        <f t="shared" si="72"/>
        <v>0</v>
      </c>
      <c r="H854" s="790">
        <f>+J791*G854+E854</f>
        <v>0</v>
      </c>
      <c r="I854" s="791">
        <f>+J792*G854+E854</f>
        <v>0</v>
      </c>
      <c r="J854" s="788">
        <f t="shared" si="73"/>
        <v>0</v>
      </c>
      <c r="K854" s="788"/>
      <c r="L854" s="1310"/>
      <c r="M854" s="788">
        <f t="shared" si="74"/>
        <v>0</v>
      </c>
      <c r="N854" s="1310"/>
      <c r="O854" s="788">
        <f t="shared" si="75"/>
        <v>0</v>
      </c>
      <c r="P854" s="788">
        <f t="shared" si="76"/>
        <v>0</v>
      </c>
    </row>
    <row r="855" spans="1:17" ht="13.5" thickBot="1">
      <c r="C855" s="794">
        <f>IF(D790="","-",+C854+1)</f>
        <v>2076</v>
      </c>
      <c r="D855" s="795">
        <f t="shared" si="77"/>
        <v>0</v>
      </c>
      <c r="E855" s="796">
        <f t="shared" si="78"/>
        <v>0</v>
      </c>
      <c r="F855" s="796">
        <f t="shared" si="71"/>
        <v>0</v>
      </c>
      <c r="G855" s="795">
        <f t="shared" si="72"/>
        <v>0</v>
      </c>
      <c r="H855" s="797">
        <f>+J791*G855+E855</f>
        <v>0</v>
      </c>
      <c r="I855" s="797">
        <f>+J792*G855+E855</f>
        <v>0</v>
      </c>
      <c r="J855" s="798">
        <f t="shared" si="73"/>
        <v>0</v>
      </c>
      <c r="K855" s="788"/>
      <c r="L855" s="1311"/>
      <c r="M855" s="798">
        <f t="shared" si="74"/>
        <v>0</v>
      </c>
      <c r="N855" s="1311"/>
      <c r="O855" s="798">
        <f t="shared" si="75"/>
        <v>0</v>
      </c>
      <c r="P855" s="798">
        <f t="shared" si="76"/>
        <v>0</v>
      </c>
    </row>
    <row r="856" spans="1:17">
      <c r="C856" s="732" t="s">
        <v>93</v>
      </c>
      <c r="D856" s="726"/>
      <c r="E856" s="726">
        <f>SUM(E796:E855)</f>
        <v>32360309.789999999</v>
      </c>
      <c r="F856" s="726"/>
      <c r="G856" s="726"/>
      <c r="H856" s="726">
        <f>SUM(H796:H855)</f>
        <v>107833555.50041299</v>
      </c>
      <c r="I856" s="726">
        <f>SUM(I796:I855)</f>
        <v>107833555.50041299</v>
      </c>
      <c r="J856" s="726">
        <f>SUM(J796:J855)</f>
        <v>0</v>
      </c>
      <c r="K856" s="726"/>
      <c r="L856" s="726"/>
      <c r="M856" s="726"/>
      <c r="N856" s="726"/>
      <c r="O856" s="726"/>
    </row>
    <row r="857" spans="1:17">
      <c r="D857" s="534"/>
      <c r="E857" s="313"/>
      <c r="F857" s="313"/>
      <c r="G857" s="313"/>
      <c r="H857" s="313"/>
      <c r="I857" s="704"/>
      <c r="J857" s="704"/>
      <c r="K857" s="726"/>
      <c r="L857" s="704"/>
      <c r="M857" s="704"/>
      <c r="N857" s="704"/>
      <c r="O857" s="704"/>
    </row>
    <row r="858" spans="1:17">
      <c r="C858" s="313" t="s">
        <v>15</v>
      </c>
      <c r="D858" s="534"/>
      <c r="E858" s="313"/>
      <c r="F858" s="313"/>
      <c r="G858" s="313"/>
      <c r="H858" s="313"/>
      <c r="I858" s="704"/>
      <c r="J858" s="704"/>
      <c r="K858" s="726"/>
      <c r="L858" s="704"/>
      <c r="M858" s="704"/>
      <c r="N858" s="704"/>
      <c r="O858" s="704"/>
    </row>
    <row r="859" spans="1:17">
      <c r="C859" s="313"/>
      <c r="D859" s="534"/>
      <c r="E859" s="313"/>
      <c r="F859" s="313"/>
      <c r="G859" s="313"/>
      <c r="H859" s="313"/>
      <c r="I859" s="704"/>
      <c r="J859" s="704"/>
      <c r="K859" s="726"/>
      <c r="L859" s="704"/>
      <c r="M859" s="704"/>
      <c r="N859" s="704"/>
      <c r="O859" s="704"/>
    </row>
    <row r="860" spans="1:17">
      <c r="C860" s="745" t="s">
        <v>16</v>
      </c>
      <c r="D860" s="732"/>
      <c r="E860" s="732"/>
      <c r="F860" s="732"/>
      <c r="G860" s="732"/>
      <c r="H860" s="726"/>
      <c r="I860" s="726"/>
      <c r="J860" s="800"/>
      <c r="K860" s="800"/>
      <c r="L860" s="800"/>
      <c r="M860" s="800"/>
      <c r="N860" s="800"/>
      <c r="O860" s="800"/>
    </row>
    <row r="861" spans="1:17">
      <c r="C861" s="731" t="s">
        <v>273</v>
      </c>
      <c r="D861" s="732"/>
      <c r="E861" s="732"/>
      <c r="F861" s="732"/>
      <c r="G861" s="732"/>
      <c r="H861" s="726"/>
      <c r="I861" s="726"/>
      <c r="J861" s="800"/>
      <c r="K861" s="800"/>
      <c r="L861" s="800"/>
      <c r="M861" s="800"/>
      <c r="N861" s="800"/>
      <c r="O861" s="800"/>
    </row>
    <row r="862" spans="1:17">
      <c r="C862" s="731" t="s">
        <v>94</v>
      </c>
      <c r="D862" s="732"/>
      <c r="E862" s="732"/>
      <c r="F862" s="732"/>
      <c r="G862" s="732"/>
      <c r="H862" s="726"/>
      <c r="I862" s="726"/>
      <c r="J862" s="800"/>
      <c r="K862" s="800"/>
      <c r="L862" s="800"/>
      <c r="M862" s="800"/>
      <c r="N862" s="800"/>
      <c r="O862" s="800"/>
    </row>
    <row r="863" spans="1:17">
      <c r="C863" s="731"/>
      <c r="D863" s="732"/>
      <c r="E863" s="732"/>
      <c r="F863" s="732"/>
      <c r="G863" s="732"/>
      <c r="H863" s="726"/>
      <c r="I863" s="726"/>
      <c r="J863" s="800"/>
      <c r="K863" s="800"/>
      <c r="L863" s="800"/>
      <c r="M863" s="800"/>
      <c r="N863" s="800"/>
      <c r="O863" s="800"/>
    </row>
    <row r="864" spans="1:17" ht="20.25">
      <c r="A864" s="733" t="str">
        <f>""&amp;A783&amp;" Worksheet K -  ATRR TRUE-UP Calculation for PJM Projects Charged to Benefiting Zones"</f>
        <v xml:space="preserve"> Worksheet K -  ATRR TRUE-UP Calculation for PJM Projects Charged to Benefiting Zones</v>
      </c>
      <c r="B864" s="346"/>
      <c r="C864" s="721"/>
      <c r="D864" s="534"/>
      <c r="E864" s="313"/>
      <c r="F864" s="703"/>
      <c r="G864" s="703"/>
      <c r="H864" s="313"/>
      <c r="I864" s="704"/>
      <c r="L864" s="560"/>
      <c r="M864" s="560"/>
      <c r="N864" s="560"/>
      <c r="O864" s="649" t="str">
        <f>"Page "&amp;SUM(Q$8:Q864)&amp;" of "</f>
        <v xml:space="preserve">Page 10 of </v>
      </c>
      <c r="P864" s="650">
        <f>COUNT(Q$8:Q$56657)</f>
        <v>10</v>
      </c>
      <c r="Q864" s="173">
        <v>1</v>
      </c>
    </row>
    <row r="865" spans="1:16">
      <c r="B865" s="346"/>
      <c r="C865" s="313"/>
      <c r="D865" s="534"/>
      <c r="E865" s="313"/>
      <c r="F865" s="313"/>
      <c r="G865" s="313"/>
      <c r="H865" s="313"/>
      <c r="I865" s="704"/>
      <c r="J865" s="313"/>
      <c r="K865" s="423"/>
    </row>
    <row r="866" spans="1:16" ht="18">
      <c r="B866" s="653" t="s">
        <v>474</v>
      </c>
      <c r="C866" s="735" t="s">
        <v>95</v>
      </c>
      <c r="D866" s="534"/>
      <c r="E866" s="313"/>
      <c r="F866" s="313"/>
      <c r="G866" s="313"/>
      <c r="H866" s="313"/>
      <c r="I866" s="704"/>
      <c r="J866" s="704"/>
      <c r="K866" s="726"/>
      <c r="L866" s="704"/>
      <c r="M866" s="704"/>
      <c r="N866" s="704"/>
      <c r="O866" s="704"/>
    </row>
    <row r="867" spans="1:16" ht="18.75">
      <c r="B867" s="653"/>
      <c r="C867" s="652"/>
      <c r="D867" s="534"/>
      <c r="E867" s="313"/>
      <c r="F867" s="313"/>
      <c r="G867" s="313"/>
      <c r="H867" s="313"/>
      <c r="I867" s="704"/>
      <c r="J867" s="704"/>
      <c r="K867" s="726"/>
      <c r="L867" s="704"/>
      <c r="M867" s="704"/>
      <c r="N867" s="704"/>
      <c r="O867" s="704"/>
    </row>
    <row r="868" spans="1:16" ht="18.75">
      <c r="B868" s="653"/>
      <c r="C868" s="652" t="s">
        <v>96</v>
      </c>
      <c r="D868" s="534"/>
      <c r="E868" s="313"/>
      <c r="F868" s="313"/>
      <c r="G868" s="313"/>
      <c r="H868" s="313"/>
      <c r="I868" s="704"/>
      <c r="J868" s="704"/>
      <c r="K868" s="726"/>
      <c r="L868" s="704"/>
      <c r="M868" s="704"/>
      <c r="N868" s="704"/>
      <c r="O868" s="704"/>
    </row>
    <row r="869" spans="1:16" ht="15.75" thickBot="1">
      <c r="C869" s="240"/>
      <c r="D869" s="534"/>
      <c r="E869" s="313"/>
      <c r="F869" s="313"/>
      <c r="G869" s="313"/>
      <c r="H869" s="313"/>
      <c r="I869" s="704"/>
      <c r="J869" s="704"/>
      <c r="K869" s="726"/>
      <c r="L869" s="704"/>
      <c r="M869" s="704"/>
      <c r="N869" s="704"/>
      <c r="O869" s="704"/>
    </row>
    <row r="870" spans="1:16" ht="15.75">
      <c r="C870" s="655" t="s">
        <v>97</v>
      </c>
      <c r="D870" s="534"/>
      <c r="E870" s="313"/>
      <c r="F870" s="313"/>
      <c r="G870" s="313"/>
      <c r="H870" s="802"/>
      <c r="I870" s="313" t="s">
        <v>76</v>
      </c>
      <c r="J870" s="313"/>
      <c r="K870" s="423"/>
      <c r="L870" s="831">
        <f>+J876</f>
        <v>2021</v>
      </c>
      <c r="M870" s="812" t="s">
        <v>54</v>
      </c>
      <c r="N870" s="812" t="s">
        <v>55</v>
      </c>
      <c r="O870" s="813" t="s">
        <v>57</v>
      </c>
    </row>
    <row r="871" spans="1:16" ht="15.75">
      <c r="C871" s="655"/>
      <c r="D871" s="534"/>
      <c r="E871" s="313"/>
      <c r="F871" s="313"/>
      <c r="H871" s="313"/>
      <c r="I871" s="740"/>
      <c r="J871" s="740"/>
      <c r="K871" s="741"/>
      <c r="L871" s="832" t="s">
        <v>245</v>
      </c>
      <c r="M871" s="833">
        <f>VLOOKUP(J876,C883:P942,10)</f>
        <v>1014728.9243219129</v>
      </c>
      <c r="N871" s="833">
        <f>VLOOKUP(J876,C883:P942,12)</f>
        <v>1014728.9243219129</v>
      </c>
      <c r="O871" s="834">
        <f>+N871-M871</f>
        <v>0</v>
      </c>
    </row>
    <row r="872" spans="1:16">
      <c r="A872" s="1340"/>
      <c r="C872" s="745" t="s">
        <v>98</v>
      </c>
      <c r="D872" s="1557" t="s">
        <v>859</v>
      </c>
      <c r="E872" s="1557"/>
      <c r="F872" s="1557"/>
      <c r="G872" s="1557"/>
      <c r="H872" s="1557"/>
      <c r="I872" s="1557"/>
      <c r="J872" s="704"/>
      <c r="K872" s="726"/>
      <c r="L872" s="832" t="s">
        <v>246</v>
      </c>
      <c r="M872" s="835">
        <f>VLOOKUP(J876,C883:P942,6)</f>
        <v>1063685.7407250309</v>
      </c>
      <c r="N872" s="835">
        <f>VLOOKUP(J876,C883:P942,7)</f>
        <v>1063685.7407250309</v>
      </c>
      <c r="O872" s="836">
        <f>+N872-M872</f>
        <v>0</v>
      </c>
    </row>
    <row r="873" spans="1:16" ht="13.5" thickBot="1">
      <c r="C873" s="749"/>
      <c r="D873" s="1557"/>
      <c r="E873" s="1557"/>
      <c r="F873" s="1557"/>
      <c r="G873" s="1557"/>
      <c r="H873" s="1557"/>
      <c r="I873" s="1557"/>
      <c r="J873" s="704"/>
      <c r="K873" s="726"/>
      <c r="L873" s="768" t="s">
        <v>247</v>
      </c>
      <c r="M873" s="837">
        <f>+M872-M871</f>
        <v>48956.816403117962</v>
      </c>
      <c r="N873" s="837">
        <f>+N872-N871</f>
        <v>48956.816403117962</v>
      </c>
      <c r="O873" s="838">
        <f>+O872-O871</f>
        <v>0</v>
      </c>
    </row>
    <row r="874" spans="1:16" ht="13.5" thickBot="1">
      <c r="C874" s="752"/>
      <c r="D874" s="753"/>
      <c r="E874" s="751"/>
      <c r="F874" s="751"/>
      <c r="G874" s="751"/>
      <c r="H874" s="751"/>
      <c r="I874" s="751"/>
      <c r="J874" s="751"/>
      <c r="K874" s="754"/>
      <c r="L874" s="751"/>
      <c r="M874" s="751"/>
      <c r="N874" s="751"/>
      <c r="O874" s="751"/>
      <c r="P874" s="346"/>
    </row>
    <row r="875" spans="1:16" ht="13.5" thickBot="1">
      <c r="C875" s="755" t="s">
        <v>99</v>
      </c>
      <c r="D875" s="756"/>
      <c r="E875" s="756"/>
      <c r="F875" s="756"/>
      <c r="G875" s="756"/>
      <c r="H875" s="756"/>
      <c r="I875" s="756"/>
      <c r="J875" s="756"/>
      <c r="K875" s="758"/>
      <c r="P875" s="759"/>
    </row>
    <row r="876" spans="1:16" ht="15">
      <c r="C876" s="760" t="s">
        <v>77</v>
      </c>
      <c r="D876" s="804">
        <v>8427427.9900000002</v>
      </c>
      <c r="E876" s="721" t="s">
        <v>78</v>
      </c>
      <c r="H876" s="761"/>
      <c r="I876" s="761"/>
      <c r="J876" s="762">
        <f>$J$93</f>
        <v>2021</v>
      </c>
      <c r="K876" s="550"/>
      <c r="L876" s="1558" t="s">
        <v>79</v>
      </c>
      <c r="M876" s="1558"/>
      <c r="N876" s="1558"/>
      <c r="O876" s="1558"/>
      <c r="P876" s="423"/>
    </row>
    <row r="877" spans="1:16">
      <c r="C877" s="760" t="s">
        <v>80</v>
      </c>
      <c r="D877" s="1307">
        <v>2016</v>
      </c>
      <c r="E877" s="760" t="s">
        <v>81</v>
      </c>
      <c r="F877" s="761"/>
      <c r="G877" s="761"/>
      <c r="I877" s="173"/>
      <c r="J877" s="806">
        <f>IF(H870="",0,$F$17)</f>
        <v>0</v>
      </c>
      <c r="K877" s="763"/>
      <c r="L877" s="726" t="s">
        <v>287</v>
      </c>
      <c r="P877" s="423"/>
    </row>
    <row r="878" spans="1:16">
      <c r="C878" s="760" t="s">
        <v>82</v>
      </c>
      <c r="D878" s="804">
        <v>5</v>
      </c>
      <c r="E878" s="760" t="s">
        <v>83</v>
      </c>
      <c r="F878" s="761"/>
      <c r="G878" s="761"/>
      <c r="I878" s="173"/>
      <c r="J878" s="764">
        <f>$F$70</f>
        <v>0.11565015966136639</v>
      </c>
      <c r="K878" s="765"/>
      <c r="L878" s="313" t="str">
        <f>"          INPUT TRUE-UP ARR (WITH &amp; WITHOUT INCENTIVES) FROM EACH PRIOR YEAR"</f>
        <v xml:space="preserve">          INPUT TRUE-UP ARR (WITH &amp; WITHOUT INCENTIVES) FROM EACH PRIOR YEAR</v>
      </c>
      <c r="P878" s="423"/>
    </row>
    <row r="879" spans="1:16">
      <c r="C879" s="760" t="s">
        <v>84</v>
      </c>
      <c r="D879" s="766">
        <f>H$79</f>
        <v>39</v>
      </c>
      <c r="E879" s="760" t="s">
        <v>85</v>
      </c>
      <c r="F879" s="761"/>
      <c r="G879" s="761"/>
      <c r="I879" s="173"/>
      <c r="J879" s="764">
        <f>IF(H870="",+J878,$F$69)</f>
        <v>0.11565015966136639</v>
      </c>
      <c r="K879" s="767"/>
      <c r="L879" s="313" t="s">
        <v>167</v>
      </c>
      <c r="M879" s="767"/>
      <c r="N879" s="767"/>
      <c r="O879" s="767"/>
      <c r="P879" s="423"/>
    </row>
    <row r="880" spans="1:16" ht="13.5" thickBot="1">
      <c r="C880" s="760" t="s">
        <v>86</v>
      </c>
      <c r="D880" s="1331" t="s">
        <v>814</v>
      </c>
      <c r="E880" s="768" t="s">
        <v>87</v>
      </c>
      <c r="F880" s="769"/>
      <c r="G880" s="769"/>
      <c r="H880" s="770"/>
      <c r="I880" s="770"/>
      <c r="J880" s="748">
        <f>IF(D876=0,0,D876/D879)</f>
        <v>216087.89717948719</v>
      </c>
      <c r="K880" s="726"/>
      <c r="L880" s="726" t="s">
        <v>168</v>
      </c>
      <c r="M880" s="726"/>
      <c r="N880" s="726"/>
      <c r="O880" s="726"/>
      <c r="P880" s="423"/>
    </row>
    <row r="881" spans="2:16" ht="38.25">
      <c r="B881" s="841"/>
      <c r="C881" s="771" t="s">
        <v>77</v>
      </c>
      <c r="D881" s="772" t="s">
        <v>88</v>
      </c>
      <c r="E881" s="773" t="s">
        <v>89</v>
      </c>
      <c r="F881" s="772" t="s">
        <v>90</v>
      </c>
      <c r="G881" s="772" t="s">
        <v>248</v>
      </c>
      <c r="H881" s="773" t="s">
        <v>161</v>
      </c>
      <c r="I881" s="774" t="s">
        <v>161</v>
      </c>
      <c r="J881" s="771" t="s">
        <v>100</v>
      </c>
      <c r="K881" s="775"/>
      <c r="L881" s="773" t="s">
        <v>163</v>
      </c>
      <c r="M881" s="773" t="s">
        <v>169</v>
      </c>
      <c r="N881" s="773" t="s">
        <v>163</v>
      </c>
      <c r="O881" s="773" t="s">
        <v>171</v>
      </c>
      <c r="P881" s="773" t="s">
        <v>91</v>
      </c>
    </row>
    <row r="882" spans="2:16" ht="13.5" thickBot="1">
      <c r="C882" s="777" t="s">
        <v>477</v>
      </c>
      <c r="D882" s="778" t="s">
        <v>478</v>
      </c>
      <c r="E882" s="777" t="s">
        <v>371</v>
      </c>
      <c r="F882" s="778" t="s">
        <v>478</v>
      </c>
      <c r="G882" s="778" t="s">
        <v>478</v>
      </c>
      <c r="H882" s="779" t="s">
        <v>103</v>
      </c>
      <c r="I882" s="780" t="s">
        <v>105</v>
      </c>
      <c r="J882" s="781" t="s">
        <v>17</v>
      </c>
      <c r="K882" s="782"/>
      <c r="L882" s="779" t="s">
        <v>92</v>
      </c>
      <c r="M882" s="779" t="s">
        <v>92</v>
      </c>
      <c r="N882" s="779" t="s">
        <v>265</v>
      </c>
      <c r="O882" s="779" t="s">
        <v>265</v>
      </c>
      <c r="P882" s="779" t="s">
        <v>265</v>
      </c>
    </row>
    <row r="883" spans="2:16">
      <c r="C883" s="784">
        <f>IF(D877= "","-",D877)</f>
        <v>2016</v>
      </c>
      <c r="D883" s="732">
        <f>+D876</f>
        <v>8427427.9900000002</v>
      </c>
      <c r="E883" s="790">
        <f>+J880/12*(12-D878)</f>
        <v>126051.27335470085</v>
      </c>
      <c r="F883" s="839">
        <f t="shared" ref="F883:F942" si="79">+D883-E883</f>
        <v>8301376.7166452995</v>
      </c>
      <c r="G883" s="732">
        <f t="shared" ref="G883:G942" si="80">+(D883+F883)/2</f>
        <v>8364402.3533226494</v>
      </c>
      <c r="H883" s="786">
        <f>+J878*G883+E883</f>
        <v>1093395.740988374</v>
      </c>
      <c r="I883" s="787">
        <f>+J879*G883+E883</f>
        <v>1093395.740988374</v>
      </c>
      <c r="J883" s="788">
        <f t="shared" ref="J883:J942" si="81">+I883-H883</f>
        <v>0</v>
      </c>
      <c r="K883" s="788"/>
      <c r="L883" s="1309">
        <v>0</v>
      </c>
      <c r="M883" s="840">
        <f t="shared" ref="M883:M942" si="82">IF(L883&lt;&gt;0,+H883-L883,0)</f>
        <v>0</v>
      </c>
      <c r="N883" s="1309">
        <v>0</v>
      </c>
      <c r="O883" s="840">
        <f t="shared" ref="O883:O942" si="83">IF(N883&lt;&gt;0,+I883-N883,0)</f>
        <v>0</v>
      </c>
      <c r="P883" s="840">
        <f t="shared" ref="P883:P942" si="84">+O883-M883</f>
        <v>0</v>
      </c>
    </row>
    <row r="884" spans="2:16">
      <c r="C884" s="784">
        <f>IF(D877="","-",+C883+1)</f>
        <v>2017</v>
      </c>
      <c r="D884" s="1332">
        <f t="shared" ref="D884:D942" si="85">F883</f>
        <v>8301376.7166452995</v>
      </c>
      <c r="E884" s="785">
        <f>IF(D884&gt;$J$880,$J$880,D884)</f>
        <v>216087.89717948719</v>
      </c>
      <c r="F884" s="785">
        <f t="shared" si="79"/>
        <v>8085288.8194658123</v>
      </c>
      <c r="G884" s="732">
        <f t="shared" si="80"/>
        <v>8193332.7680555563</v>
      </c>
      <c r="H884" s="790">
        <f>+J878*G884+E884</f>
        <v>1163648.1399638173</v>
      </c>
      <c r="I884" s="791">
        <f>+J879*G884+E884</f>
        <v>1163648.1399638173</v>
      </c>
      <c r="J884" s="788">
        <f t="shared" si="81"/>
        <v>0</v>
      </c>
      <c r="K884" s="788"/>
      <c r="L884" s="1310">
        <v>0</v>
      </c>
      <c r="M884" s="788">
        <f t="shared" si="82"/>
        <v>0</v>
      </c>
      <c r="N884" s="1310">
        <v>0</v>
      </c>
      <c r="O884" s="788">
        <f t="shared" si="83"/>
        <v>0</v>
      </c>
      <c r="P884" s="788">
        <f t="shared" si="84"/>
        <v>0</v>
      </c>
    </row>
    <row r="885" spans="2:16">
      <c r="C885" s="784">
        <f>IF(D877="","-",+C884+1)</f>
        <v>2018</v>
      </c>
      <c r="D885" s="1402">
        <f t="shared" si="85"/>
        <v>8085288.8194658123</v>
      </c>
      <c r="E885" s="785">
        <f t="shared" ref="E885:E942" si="86">IF(D885&gt;$J$880,$J$880,D885)</f>
        <v>216087.89717948719</v>
      </c>
      <c r="F885" s="785">
        <f t="shared" si="79"/>
        <v>7869200.9222863251</v>
      </c>
      <c r="G885" s="732">
        <f t="shared" si="80"/>
        <v>7977244.8708760682</v>
      </c>
      <c r="H885" s="790">
        <f>+J878*G885+E885</f>
        <v>1138657.5401541207</v>
      </c>
      <c r="I885" s="791">
        <f>+J879*G885+E885</f>
        <v>1138657.5401541207</v>
      </c>
      <c r="J885" s="788">
        <f t="shared" si="81"/>
        <v>0</v>
      </c>
      <c r="K885" s="788"/>
      <c r="L885" s="1310">
        <v>0</v>
      </c>
      <c r="M885" s="788">
        <f t="shared" si="82"/>
        <v>0</v>
      </c>
      <c r="N885" s="1310">
        <v>0</v>
      </c>
      <c r="O885" s="788">
        <f t="shared" si="83"/>
        <v>0</v>
      </c>
      <c r="P885" s="788">
        <f t="shared" si="84"/>
        <v>0</v>
      </c>
    </row>
    <row r="886" spans="2:16">
      <c r="C886" s="784">
        <f>IF(D877="","-",+C885+1)</f>
        <v>2019</v>
      </c>
      <c r="D886" s="732">
        <f t="shared" si="85"/>
        <v>7869200.9222863251</v>
      </c>
      <c r="E886" s="785">
        <f t="shared" si="86"/>
        <v>216087.89717948719</v>
      </c>
      <c r="F886" s="785">
        <f t="shared" si="79"/>
        <v>7653113.025106838</v>
      </c>
      <c r="G886" s="732">
        <f t="shared" si="80"/>
        <v>7761156.973696582</v>
      </c>
      <c r="H886" s="790">
        <f>+J878*G886+E886</f>
        <v>1113666.9403444242</v>
      </c>
      <c r="I886" s="791">
        <f>+J879*G886+E886</f>
        <v>1113666.9403444242</v>
      </c>
      <c r="J886" s="788">
        <f t="shared" si="81"/>
        <v>0</v>
      </c>
      <c r="K886" s="788"/>
      <c r="L886" s="1310">
        <v>1008642</v>
      </c>
      <c r="M886" s="788">
        <f t="shared" si="82"/>
        <v>105024.94034442422</v>
      </c>
      <c r="N886" s="1310">
        <v>1008642</v>
      </c>
      <c r="O886" s="788">
        <f t="shared" si="83"/>
        <v>105024.94034442422</v>
      </c>
      <c r="P886" s="788">
        <f t="shared" si="84"/>
        <v>0</v>
      </c>
    </row>
    <row r="887" spans="2:16">
      <c r="C887" s="784">
        <f>IF(D877="","-",+C886+1)</f>
        <v>2020</v>
      </c>
      <c r="D887" s="1332">
        <f t="shared" si="85"/>
        <v>7653113.025106838</v>
      </c>
      <c r="E887" s="785">
        <f t="shared" si="86"/>
        <v>216087.89717948719</v>
      </c>
      <c r="F887" s="785">
        <f t="shared" si="79"/>
        <v>7437025.1279273508</v>
      </c>
      <c r="G887" s="732">
        <f t="shared" si="80"/>
        <v>7545069.0765170939</v>
      </c>
      <c r="H887" s="790">
        <f>+J878*G887+E887</f>
        <v>1088676.3405347273</v>
      </c>
      <c r="I887" s="791">
        <f>+J879*G887+E887</f>
        <v>1088676.3405347273</v>
      </c>
      <c r="J887" s="788">
        <f t="shared" si="81"/>
        <v>0</v>
      </c>
      <c r="K887" s="788"/>
      <c r="L887" s="1310">
        <v>1022943.147566004</v>
      </c>
      <c r="M887" s="788">
        <f t="shared" si="82"/>
        <v>65733.192968723364</v>
      </c>
      <c r="N887" s="1310">
        <v>1022943.147566004</v>
      </c>
      <c r="O887" s="788">
        <f t="shared" si="83"/>
        <v>65733.192968723364</v>
      </c>
      <c r="P887" s="788">
        <f t="shared" si="84"/>
        <v>0</v>
      </c>
    </row>
    <row r="888" spans="2:16">
      <c r="C888" s="784">
        <f>IF(D877="","-",+C887+1)</f>
        <v>2021</v>
      </c>
      <c r="D888" s="1332">
        <f t="shared" si="85"/>
        <v>7437025.1279273508</v>
      </c>
      <c r="E888" s="785">
        <f t="shared" si="86"/>
        <v>216087.89717948719</v>
      </c>
      <c r="F888" s="785">
        <f t="shared" si="79"/>
        <v>7220937.2307478637</v>
      </c>
      <c r="G888" s="732">
        <f t="shared" si="80"/>
        <v>7328981.1793376077</v>
      </c>
      <c r="H888" s="790">
        <f>+J878*G888+E888</f>
        <v>1063685.7407250309</v>
      </c>
      <c r="I888" s="791">
        <f>+J879*G888+E888</f>
        <v>1063685.7407250309</v>
      </c>
      <c r="J888" s="788">
        <f t="shared" si="81"/>
        <v>0</v>
      </c>
      <c r="K888" s="788"/>
      <c r="L888" s="1310">
        <v>1014728.9243219129</v>
      </c>
      <c r="M888" s="788">
        <f t="shared" si="82"/>
        <v>48956.816403117962</v>
      </c>
      <c r="N888" s="1310">
        <v>1014728.9243219129</v>
      </c>
      <c r="O888" s="788">
        <f t="shared" si="83"/>
        <v>48956.816403117962</v>
      </c>
      <c r="P888" s="788">
        <f t="shared" si="84"/>
        <v>0</v>
      </c>
    </row>
    <row r="889" spans="2:16">
      <c r="C889" s="784">
        <f>IF(D877="","-",+C888+1)</f>
        <v>2022</v>
      </c>
      <c r="D889" s="1332">
        <f t="shared" si="85"/>
        <v>7220937.2307478637</v>
      </c>
      <c r="E889" s="785">
        <f t="shared" si="86"/>
        <v>216087.89717948719</v>
      </c>
      <c r="F889" s="785">
        <f t="shared" si="79"/>
        <v>7004849.3335683765</v>
      </c>
      <c r="G889" s="732">
        <f t="shared" si="80"/>
        <v>7112893.2821581196</v>
      </c>
      <c r="H889" s="790">
        <f>+J878*G889+E889</f>
        <v>1038695.1409153341</v>
      </c>
      <c r="I889" s="791">
        <f>+J879*G889+E889</f>
        <v>1038695.1409153341</v>
      </c>
      <c r="J889" s="788">
        <f t="shared" si="81"/>
        <v>0</v>
      </c>
      <c r="K889" s="788"/>
      <c r="L889" s="1310">
        <v>0</v>
      </c>
      <c r="M889" s="788">
        <f t="shared" si="82"/>
        <v>0</v>
      </c>
      <c r="N889" s="1310">
        <v>0</v>
      </c>
      <c r="O889" s="788">
        <f t="shared" si="83"/>
        <v>0</v>
      </c>
      <c r="P889" s="788">
        <f t="shared" si="84"/>
        <v>0</v>
      </c>
    </row>
    <row r="890" spans="2:16">
      <c r="C890" s="784">
        <f>IF(D877="","-",+C889+1)</f>
        <v>2023</v>
      </c>
      <c r="D890" s="732">
        <f t="shared" si="85"/>
        <v>7004849.3335683765</v>
      </c>
      <c r="E890" s="785">
        <f t="shared" si="86"/>
        <v>216087.89717948719</v>
      </c>
      <c r="F890" s="785">
        <f t="shared" si="79"/>
        <v>6788761.4363888893</v>
      </c>
      <c r="G890" s="732">
        <f t="shared" si="80"/>
        <v>6896805.3849786334</v>
      </c>
      <c r="H890" s="790">
        <f>+J878*G890+E890</f>
        <v>1013704.5411056377</v>
      </c>
      <c r="I890" s="791">
        <f>+J879*G890+E890</f>
        <v>1013704.5411056377</v>
      </c>
      <c r="J890" s="788">
        <f t="shared" si="81"/>
        <v>0</v>
      </c>
      <c r="K890" s="788"/>
      <c r="L890" s="1310"/>
      <c r="M890" s="788">
        <f t="shared" si="82"/>
        <v>0</v>
      </c>
      <c r="N890" s="1310"/>
      <c r="O890" s="788">
        <f t="shared" si="83"/>
        <v>0</v>
      </c>
      <c r="P890" s="788">
        <f t="shared" si="84"/>
        <v>0</v>
      </c>
    </row>
    <row r="891" spans="2:16">
      <c r="C891" s="784">
        <f>IF(D877="","-",+C890+1)</f>
        <v>2024</v>
      </c>
      <c r="D891" s="732">
        <f t="shared" si="85"/>
        <v>6788761.4363888893</v>
      </c>
      <c r="E891" s="785">
        <f t="shared" si="86"/>
        <v>216087.89717948719</v>
      </c>
      <c r="F891" s="785">
        <f t="shared" si="79"/>
        <v>6572673.5392094022</v>
      </c>
      <c r="G891" s="732">
        <f t="shared" si="80"/>
        <v>6680717.4877991453</v>
      </c>
      <c r="H891" s="790">
        <f>+J878*G891+E891</f>
        <v>988713.94129594089</v>
      </c>
      <c r="I891" s="791">
        <f>+J879*G891+E891</f>
        <v>988713.94129594089</v>
      </c>
      <c r="J891" s="788">
        <f t="shared" si="81"/>
        <v>0</v>
      </c>
      <c r="K891" s="788"/>
      <c r="L891" s="1310"/>
      <c r="M891" s="788">
        <f t="shared" si="82"/>
        <v>0</v>
      </c>
      <c r="N891" s="1310"/>
      <c r="O891" s="788">
        <f t="shared" si="83"/>
        <v>0</v>
      </c>
      <c r="P891" s="788">
        <f t="shared" si="84"/>
        <v>0</v>
      </c>
    </row>
    <row r="892" spans="2:16">
      <c r="C892" s="784">
        <f>IF(D877="","-",+C891+1)</f>
        <v>2025</v>
      </c>
      <c r="D892" s="732">
        <f t="shared" si="85"/>
        <v>6572673.5392094022</v>
      </c>
      <c r="E892" s="785">
        <f t="shared" si="86"/>
        <v>216087.89717948719</v>
      </c>
      <c r="F892" s="785">
        <f t="shared" si="79"/>
        <v>6356585.642029915</v>
      </c>
      <c r="G892" s="732">
        <f t="shared" si="80"/>
        <v>6464629.5906196591</v>
      </c>
      <c r="H892" s="790">
        <f>+J878*G892+E892</f>
        <v>963723.34148624435</v>
      </c>
      <c r="I892" s="791">
        <f>+J879*G892+E892</f>
        <v>963723.34148624435</v>
      </c>
      <c r="J892" s="788">
        <f t="shared" si="81"/>
        <v>0</v>
      </c>
      <c r="K892" s="788"/>
      <c r="L892" s="1310"/>
      <c r="M892" s="788">
        <f t="shared" si="82"/>
        <v>0</v>
      </c>
      <c r="N892" s="1310"/>
      <c r="O892" s="788">
        <f t="shared" si="83"/>
        <v>0</v>
      </c>
      <c r="P892" s="788">
        <f t="shared" si="84"/>
        <v>0</v>
      </c>
    </row>
    <row r="893" spans="2:16">
      <c r="C893" s="784">
        <f>IF(D877="","-",+C892+1)</f>
        <v>2026</v>
      </c>
      <c r="D893" s="732">
        <f t="shared" si="85"/>
        <v>6356585.642029915</v>
      </c>
      <c r="E893" s="785">
        <f t="shared" si="86"/>
        <v>216087.89717948719</v>
      </c>
      <c r="F893" s="785">
        <f t="shared" si="79"/>
        <v>6140497.7448504278</v>
      </c>
      <c r="G893" s="732">
        <f t="shared" si="80"/>
        <v>6248541.693440171</v>
      </c>
      <c r="H893" s="790">
        <f>+J878*G893+E893</f>
        <v>938732.74167654768</v>
      </c>
      <c r="I893" s="791">
        <f>+J879*G893+E893</f>
        <v>938732.74167654768</v>
      </c>
      <c r="J893" s="788">
        <f t="shared" si="81"/>
        <v>0</v>
      </c>
      <c r="K893" s="788"/>
      <c r="L893" s="1310"/>
      <c r="M893" s="788">
        <f t="shared" si="82"/>
        <v>0</v>
      </c>
      <c r="N893" s="1310"/>
      <c r="O893" s="788">
        <f t="shared" si="83"/>
        <v>0</v>
      </c>
      <c r="P893" s="788">
        <f t="shared" si="84"/>
        <v>0</v>
      </c>
    </row>
    <row r="894" spans="2:16">
      <c r="C894" s="784">
        <f>IF(D877="","-",+C893+1)</f>
        <v>2027</v>
      </c>
      <c r="D894" s="732">
        <f t="shared" si="85"/>
        <v>6140497.7448504278</v>
      </c>
      <c r="E894" s="785">
        <f t="shared" si="86"/>
        <v>216087.89717948719</v>
      </c>
      <c r="F894" s="785">
        <f t="shared" si="79"/>
        <v>5924409.8476709407</v>
      </c>
      <c r="G894" s="732">
        <f t="shared" si="80"/>
        <v>6032453.7962606847</v>
      </c>
      <c r="H894" s="790">
        <f>+J878*G894+E894</f>
        <v>913742.14186685113</v>
      </c>
      <c r="I894" s="791">
        <f>+J879*G894+E894</f>
        <v>913742.14186685113</v>
      </c>
      <c r="J894" s="788">
        <f t="shared" si="81"/>
        <v>0</v>
      </c>
      <c r="K894" s="788"/>
      <c r="L894" s="1310"/>
      <c r="M894" s="788">
        <f t="shared" si="82"/>
        <v>0</v>
      </c>
      <c r="N894" s="1310"/>
      <c r="O894" s="788">
        <f t="shared" si="83"/>
        <v>0</v>
      </c>
      <c r="P894" s="788">
        <f t="shared" si="84"/>
        <v>0</v>
      </c>
    </row>
    <row r="895" spans="2:16">
      <c r="C895" s="784">
        <f>IF(D877="","-",+C894+1)</f>
        <v>2028</v>
      </c>
      <c r="D895" s="732">
        <f t="shared" si="85"/>
        <v>5924409.8476709407</v>
      </c>
      <c r="E895" s="785">
        <f t="shared" si="86"/>
        <v>216087.89717948719</v>
      </c>
      <c r="F895" s="785">
        <f t="shared" si="79"/>
        <v>5708321.9504914535</v>
      </c>
      <c r="G895" s="732">
        <f t="shared" si="80"/>
        <v>5816365.8990811966</v>
      </c>
      <c r="H895" s="790">
        <f>+J878*G895+E895</f>
        <v>888751.54205715447</v>
      </c>
      <c r="I895" s="791">
        <f>+J879*G895+E895</f>
        <v>888751.54205715447</v>
      </c>
      <c r="J895" s="788">
        <f t="shared" si="81"/>
        <v>0</v>
      </c>
      <c r="K895" s="788"/>
      <c r="L895" s="1310"/>
      <c r="M895" s="788">
        <f t="shared" si="82"/>
        <v>0</v>
      </c>
      <c r="N895" s="1310"/>
      <c r="O895" s="788">
        <f t="shared" si="83"/>
        <v>0</v>
      </c>
      <c r="P895" s="788">
        <f t="shared" si="84"/>
        <v>0</v>
      </c>
    </row>
    <row r="896" spans="2:16">
      <c r="C896" s="784">
        <f>IF(D877="","-",+C895+1)</f>
        <v>2029</v>
      </c>
      <c r="D896" s="732">
        <f t="shared" si="85"/>
        <v>5708321.9504914535</v>
      </c>
      <c r="E896" s="785">
        <f t="shared" si="86"/>
        <v>216087.89717948719</v>
      </c>
      <c r="F896" s="785">
        <f t="shared" si="79"/>
        <v>5492234.0533119664</v>
      </c>
      <c r="G896" s="732">
        <f t="shared" si="80"/>
        <v>5600278.0019017104</v>
      </c>
      <c r="H896" s="790">
        <f>+J878*G896+E896</f>
        <v>863760.94224745792</v>
      </c>
      <c r="I896" s="791">
        <f>+J879*G896+E896</f>
        <v>863760.94224745792</v>
      </c>
      <c r="J896" s="788">
        <f t="shared" si="81"/>
        <v>0</v>
      </c>
      <c r="K896" s="788"/>
      <c r="L896" s="1310"/>
      <c r="M896" s="788">
        <f t="shared" si="82"/>
        <v>0</v>
      </c>
      <c r="N896" s="1310"/>
      <c r="O896" s="788">
        <f t="shared" si="83"/>
        <v>0</v>
      </c>
      <c r="P896" s="788">
        <f t="shared" si="84"/>
        <v>0</v>
      </c>
    </row>
    <row r="897" spans="3:16">
      <c r="C897" s="784">
        <f>IF(D877="","-",+C896+1)</f>
        <v>2030</v>
      </c>
      <c r="D897" s="732">
        <f t="shared" si="85"/>
        <v>5492234.0533119664</v>
      </c>
      <c r="E897" s="785">
        <f t="shared" si="86"/>
        <v>216087.89717948719</v>
      </c>
      <c r="F897" s="785">
        <f t="shared" si="79"/>
        <v>5276146.1561324792</v>
      </c>
      <c r="G897" s="732">
        <f t="shared" si="80"/>
        <v>5384190.1047222223</v>
      </c>
      <c r="H897" s="790">
        <f>+J878*G897+E897</f>
        <v>838770.34243776125</v>
      </c>
      <c r="I897" s="791">
        <f>+J879*G897+E897</f>
        <v>838770.34243776125</v>
      </c>
      <c r="J897" s="788">
        <f t="shared" si="81"/>
        <v>0</v>
      </c>
      <c r="K897" s="788"/>
      <c r="L897" s="1310"/>
      <c r="M897" s="788">
        <f t="shared" si="82"/>
        <v>0</v>
      </c>
      <c r="N897" s="1310"/>
      <c r="O897" s="788">
        <f t="shared" si="83"/>
        <v>0</v>
      </c>
      <c r="P897" s="788">
        <f t="shared" si="84"/>
        <v>0</v>
      </c>
    </row>
    <row r="898" spans="3:16">
      <c r="C898" s="784">
        <f>IF(D877="","-",+C897+1)</f>
        <v>2031</v>
      </c>
      <c r="D898" s="732">
        <f t="shared" si="85"/>
        <v>5276146.1561324792</v>
      </c>
      <c r="E898" s="785">
        <f t="shared" si="86"/>
        <v>216087.89717948719</v>
      </c>
      <c r="F898" s="785">
        <f t="shared" si="79"/>
        <v>5060058.258952992</v>
      </c>
      <c r="G898" s="732">
        <f t="shared" si="80"/>
        <v>5168102.2075427361</v>
      </c>
      <c r="H898" s="790">
        <f>+J878*G898+E898</f>
        <v>813779.74262806471</v>
      </c>
      <c r="I898" s="791">
        <f>+J879*G898+E898</f>
        <v>813779.74262806471</v>
      </c>
      <c r="J898" s="788">
        <f t="shared" si="81"/>
        <v>0</v>
      </c>
      <c r="K898" s="788"/>
      <c r="L898" s="1310"/>
      <c r="M898" s="788">
        <f t="shared" si="82"/>
        <v>0</v>
      </c>
      <c r="N898" s="1310"/>
      <c r="O898" s="788">
        <f t="shared" si="83"/>
        <v>0</v>
      </c>
      <c r="P898" s="788">
        <f t="shared" si="84"/>
        <v>0</v>
      </c>
    </row>
    <row r="899" spans="3:16">
      <c r="C899" s="784">
        <f>IF(D877="","-",+C898+1)</f>
        <v>2032</v>
      </c>
      <c r="D899" s="732">
        <f t="shared" si="85"/>
        <v>5060058.258952992</v>
      </c>
      <c r="E899" s="785">
        <f t="shared" si="86"/>
        <v>216087.89717948719</v>
      </c>
      <c r="F899" s="785">
        <f t="shared" si="79"/>
        <v>4843970.3617735049</v>
      </c>
      <c r="G899" s="732">
        <f t="shared" si="80"/>
        <v>4952014.310363248</v>
      </c>
      <c r="H899" s="790">
        <f>+J878*G899+E899</f>
        <v>788789.14281836804</v>
      </c>
      <c r="I899" s="791">
        <f>+J879*G899+E899</f>
        <v>788789.14281836804</v>
      </c>
      <c r="J899" s="788">
        <f t="shared" si="81"/>
        <v>0</v>
      </c>
      <c r="K899" s="788"/>
      <c r="L899" s="1310"/>
      <c r="M899" s="788">
        <f t="shared" si="82"/>
        <v>0</v>
      </c>
      <c r="N899" s="1310"/>
      <c r="O899" s="788">
        <f t="shared" si="83"/>
        <v>0</v>
      </c>
      <c r="P899" s="788">
        <f t="shared" si="84"/>
        <v>0</v>
      </c>
    </row>
    <row r="900" spans="3:16">
      <c r="C900" s="784">
        <f>IF(D877="","-",+C899+1)</f>
        <v>2033</v>
      </c>
      <c r="D900" s="732">
        <f t="shared" si="85"/>
        <v>4843970.3617735049</v>
      </c>
      <c r="E900" s="785">
        <f t="shared" si="86"/>
        <v>216087.89717948719</v>
      </c>
      <c r="F900" s="785">
        <f t="shared" si="79"/>
        <v>4627882.4645940177</v>
      </c>
      <c r="G900" s="732">
        <f t="shared" si="80"/>
        <v>4735926.4131837618</v>
      </c>
      <c r="H900" s="790">
        <f>+J878*G900+E900</f>
        <v>763798.54300867149</v>
      </c>
      <c r="I900" s="791">
        <f>+J879*G900+E900</f>
        <v>763798.54300867149</v>
      </c>
      <c r="J900" s="788">
        <f t="shared" si="81"/>
        <v>0</v>
      </c>
      <c r="K900" s="788"/>
      <c r="L900" s="1310"/>
      <c r="M900" s="788">
        <f t="shared" si="82"/>
        <v>0</v>
      </c>
      <c r="N900" s="1310"/>
      <c r="O900" s="788">
        <f t="shared" si="83"/>
        <v>0</v>
      </c>
      <c r="P900" s="788">
        <f t="shared" si="84"/>
        <v>0</v>
      </c>
    </row>
    <row r="901" spans="3:16">
      <c r="C901" s="784">
        <f>IF(D877="","-",+C900+1)</f>
        <v>2034</v>
      </c>
      <c r="D901" s="732">
        <f t="shared" si="85"/>
        <v>4627882.4645940177</v>
      </c>
      <c r="E901" s="785">
        <f t="shared" si="86"/>
        <v>216087.89717948719</v>
      </c>
      <c r="F901" s="785">
        <f t="shared" si="79"/>
        <v>4411794.5674145306</v>
      </c>
      <c r="G901" s="732">
        <f t="shared" si="80"/>
        <v>4519838.5160042737</v>
      </c>
      <c r="H901" s="790">
        <f>+J878*G901+E901</f>
        <v>738807.94319897483</v>
      </c>
      <c r="I901" s="791">
        <f>+J879*G901+E901</f>
        <v>738807.94319897483</v>
      </c>
      <c r="J901" s="788">
        <f t="shared" si="81"/>
        <v>0</v>
      </c>
      <c r="K901" s="788"/>
      <c r="L901" s="1310"/>
      <c r="M901" s="788">
        <f t="shared" si="82"/>
        <v>0</v>
      </c>
      <c r="N901" s="1310"/>
      <c r="O901" s="788">
        <f t="shared" si="83"/>
        <v>0</v>
      </c>
      <c r="P901" s="788">
        <f t="shared" si="84"/>
        <v>0</v>
      </c>
    </row>
    <row r="902" spans="3:16">
      <c r="C902" s="784">
        <f>IF(D877="","-",+C901+1)</f>
        <v>2035</v>
      </c>
      <c r="D902" s="732">
        <f t="shared" si="85"/>
        <v>4411794.5674145306</v>
      </c>
      <c r="E902" s="785">
        <f t="shared" si="86"/>
        <v>216087.89717948719</v>
      </c>
      <c r="F902" s="785">
        <f t="shared" si="79"/>
        <v>4195706.6702350434</v>
      </c>
      <c r="G902" s="732">
        <f t="shared" si="80"/>
        <v>4303750.6188247874</v>
      </c>
      <c r="H902" s="790">
        <f>+J878*G902+E902</f>
        <v>713817.34338927828</v>
      </c>
      <c r="I902" s="791">
        <f>+J879*G902+E902</f>
        <v>713817.34338927828</v>
      </c>
      <c r="J902" s="788">
        <f t="shared" si="81"/>
        <v>0</v>
      </c>
      <c r="K902" s="788"/>
      <c r="L902" s="1310"/>
      <c r="M902" s="788">
        <f t="shared" si="82"/>
        <v>0</v>
      </c>
      <c r="N902" s="1310"/>
      <c r="O902" s="788">
        <f t="shared" si="83"/>
        <v>0</v>
      </c>
      <c r="P902" s="788">
        <f t="shared" si="84"/>
        <v>0</v>
      </c>
    </row>
    <row r="903" spans="3:16">
      <c r="C903" s="784">
        <f>IF(D877="","-",+C902+1)</f>
        <v>2036</v>
      </c>
      <c r="D903" s="732">
        <f t="shared" si="85"/>
        <v>4195706.6702350434</v>
      </c>
      <c r="E903" s="785">
        <f t="shared" si="86"/>
        <v>216087.89717948719</v>
      </c>
      <c r="F903" s="785">
        <f t="shared" si="79"/>
        <v>3979618.7730555562</v>
      </c>
      <c r="G903" s="732">
        <f t="shared" si="80"/>
        <v>4087662.7216452998</v>
      </c>
      <c r="H903" s="790">
        <f>+J878*G903+E903</f>
        <v>688826.74357958161</v>
      </c>
      <c r="I903" s="791">
        <f>+J879*G903+E903</f>
        <v>688826.74357958161</v>
      </c>
      <c r="J903" s="788">
        <f t="shared" si="81"/>
        <v>0</v>
      </c>
      <c r="K903" s="788"/>
      <c r="L903" s="1310"/>
      <c r="M903" s="788">
        <f t="shared" si="82"/>
        <v>0</v>
      </c>
      <c r="N903" s="1310"/>
      <c r="O903" s="788">
        <f t="shared" si="83"/>
        <v>0</v>
      </c>
      <c r="P903" s="788">
        <f t="shared" si="84"/>
        <v>0</v>
      </c>
    </row>
    <row r="904" spans="3:16">
      <c r="C904" s="784">
        <f>IF(D877="","-",+C903+1)</f>
        <v>2037</v>
      </c>
      <c r="D904" s="732">
        <f t="shared" si="85"/>
        <v>3979618.7730555562</v>
      </c>
      <c r="E904" s="785">
        <f t="shared" si="86"/>
        <v>216087.89717948719</v>
      </c>
      <c r="F904" s="785">
        <f t="shared" si="79"/>
        <v>3763530.8758760691</v>
      </c>
      <c r="G904" s="732">
        <f t="shared" si="80"/>
        <v>3871574.8244658126</v>
      </c>
      <c r="H904" s="790">
        <f>+J878*G904+E904</f>
        <v>663836.14376988495</v>
      </c>
      <c r="I904" s="791">
        <f>+J879*G904+E904</f>
        <v>663836.14376988495</v>
      </c>
      <c r="J904" s="788">
        <f t="shared" si="81"/>
        <v>0</v>
      </c>
      <c r="K904" s="788"/>
      <c r="L904" s="1310"/>
      <c r="M904" s="788">
        <f t="shared" si="82"/>
        <v>0</v>
      </c>
      <c r="N904" s="1310"/>
      <c r="O904" s="788">
        <f t="shared" si="83"/>
        <v>0</v>
      </c>
      <c r="P904" s="788">
        <f t="shared" si="84"/>
        <v>0</v>
      </c>
    </row>
    <row r="905" spans="3:16">
      <c r="C905" s="784">
        <f>IF(D877="","-",+C904+1)</f>
        <v>2038</v>
      </c>
      <c r="D905" s="732">
        <f t="shared" si="85"/>
        <v>3763530.8758760691</v>
      </c>
      <c r="E905" s="785">
        <f t="shared" si="86"/>
        <v>216087.89717948719</v>
      </c>
      <c r="F905" s="785">
        <f t="shared" si="79"/>
        <v>3547442.9786965819</v>
      </c>
      <c r="G905" s="732">
        <f t="shared" si="80"/>
        <v>3655486.9272863255</v>
      </c>
      <c r="H905" s="790">
        <f>+J878*G905+E905</f>
        <v>638845.5439601884</v>
      </c>
      <c r="I905" s="791">
        <f>+J879*G905+E905</f>
        <v>638845.5439601884</v>
      </c>
      <c r="J905" s="788">
        <f t="shared" si="81"/>
        <v>0</v>
      </c>
      <c r="K905" s="788"/>
      <c r="L905" s="1310"/>
      <c r="M905" s="788">
        <f t="shared" si="82"/>
        <v>0</v>
      </c>
      <c r="N905" s="1310"/>
      <c r="O905" s="788">
        <f t="shared" si="83"/>
        <v>0</v>
      </c>
      <c r="P905" s="788">
        <f t="shared" si="84"/>
        <v>0</v>
      </c>
    </row>
    <row r="906" spans="3:16">
      <c r="C906" s="784">
        <f>IF(D877="","-",+C905+1)</f>
        <v>2039</v>
      </c>
      <c r="D906" s="732">
        <f t="shared" si="85"/>
        <v>3547442.9786965819</v>
      </c>
      <c r="E906" s="785">
        <f t="shared" si="86"/>
        <v>216087.89717948719</v>
      </c>
      <c r="F906" s="785">
        <f t="shared" si="79"/>
        <v>3331355.0815170947</v>
      </c>
      <c r="G906" s="732">
        <f t="shared" si="80"/>
        <v>3439399.0301068383</v>
      </c>
      <c r="H906" s="790">
        <f>+J878*G906+E906</f>
        <v>613854.94415049173</v>
      </c>
      <c r="I906" s="791">
        <f>+J879*G906+E906</f>
        <v>613854.94415049173</v>
      </c>
      <c r="J906" s="788">
        <f t="shared" si="81"/>
        <v>0</v>
      </c>
      <c r="K906" s="788"/>
      <c r="L906" s="1310"/>
      <c r="M906" s="788">
        <f t="shared" si="82"/>
        <v>0</v>
      </c>
      <c r="N906" s="1310"/>
      <c r="O906" s="788">
        <f t="shared" si="83"/>
        <v>0</v>
      </c>
      <c r="P906" s="788">
        <f t="shared" si="84"/>
        <v>0</v>
      </c>
    </row>
    <row r="907" spans="3:16">
      <c r="C907" s="784">
        <f>IF(D877="","-",+C906+1)</f>
        <v>2040</v>
      </c>
      <c r="D907" s="732">
        <f t="shared" si="85"/>
        <v>3331355.0815170947</v>
      </c>
      <c r="E907" s="785">
        <f t="shared" si="86"/>
        <v>216087.89717948719</v>
      </c>
      <c r="F907" s="785">
        <f t="shared" si="79"/>
        <v>3115267.1843376076</v>
      </c>
      <c r="G907" s="732">
        <f t="shared" si="80"/>
        <v>3223311.1329273512</v>
      </c>
      <c r="H907" s="790">
        <f>+J878*G907+E907</f>
        <v>588864.34434079519</v>
      </c>
      <c r="I907" s="791">
        <f>+J879*G907+E907</f>
        <v>588864.34434079519</v>
      </c>
      <c r="J907" s="788">
        <f t="shared" si="81"/>
        <v>0</v>
      </c>
      <c r="K907" s="788"/>
      <c r="L907" s="1310"/>
      <c r="M907" s="788">
        <f t="shared" si="82"/>
        <v>0</v>
      </c>
      <c r="N907" s="1310"/>
      <c r="O907" s="788">
        <f t="shared" si="83"/>
        <v>0</v>
      </c>
      <c r="P907" s="788">
        <f t="shared" si="84"/>
        <v>0</v>
      </c>
    </row>
    <row r="908" spans="3:16">
      <c r="C908" s="784">
        <f>IF(D877="","-",+C907+1)</f>
        <v>2041</v>
      </c>
      <c r="D908" s="732">
        <f t="shared" si="85"/>
        <v>3115267.1843376076</v>
      </c>
      <c r="E908" s="785">
        <f t="shared" si="86"/>
        <v>216087.89717948719</v>
      </c>
      <c r="F908" s="785">
        <f t="shared" si="79"/>
        <v>2899179.2871581204</v>
      </c>
      <c r="G908" s="732">
        <f t="shared" si="80"/>
        <v>3007223.235747864</v>
      </c>
      <c r="H908" s="790">
        <f>+J878*G908+E908</f>
        <v>563873.74453109852</v>
      </c>
      <c r="I908" s="791">
        <f>+J879*G908+E908</f>
        <v>563873.74453109852</v>
      </c>
      <c r="J908" s="788">
        <f t="shared" si="81"/>
        <v>0</v>
      </c>
      <c r="K908" s="788"/>
      <c r="L908" s="1310"/>
      <c r="M908" s="788">
        <f t="shared" si="82"/>
        <v>0</v>
      </c>
      <c r="N908" s="1310"/>
      <c r="O908" s="788">
        <f t="shared" si="83"/>
        <v>0</v>
      </c>
      <c r="P908" s="788">
        <f t="shared" si="84"/>
        <v>0</v>
      </c>
    </row>
    <row r="909" spans="3:16">
      <c r="C909" s="784">
        <f>IF(D877="","-",+C908+1)</f>
        <v>2042</v>
      </c>
      <c r="D909" s="732">
        <f t="shared" si="85"/>
        <v>2899179.2871581204</v>
      </c>
      <c r="E909" s="785">
        <f t="shared" si="86"/>
        <v>216087.89717948719</v>
      </c>
      <c r="F909" s="785">
        <f t="shared" si="79"/>
        <v>2683091.3899786333</v>
      </c>
      <c r="G909" s="732">
        <f t="shared" si="80"/>
        <v>2791135.3385683768</v>
      </c>
      <c r="H909" s="790">
        <f>+J878*G909+E909</f>
        <v>538883.14472140197</v>
      </c>
      <c r="I909" s="791">
        <f>+J879*G909+E909</f>
        <v>538883.14472140197</v>
      </c>
      <c r="J909" s="788">
        <f t="shared" si="81"/>
        <v>0</v>
      </c>
      <c r="K909" s="788"/>
      <c r="L909" s="1310"/>
      <c r="M909" s="788">
        <f t="shared" si="82"/>
        <v>0</v>
      </c>
      <c r="N909" s="1310"/>
      <c r="O909" s="788">
        <f t="shared" si="83"/>
        <v>0</v>
      </c>
      <c r="P909" s="788">
        <f t="shared" si="84"/>
        <v>0</v>
      </c>
    </row>
    <row r="910" spans="3:16">
      <c r="C910" s="784">
        <f>IF(D877="","-",+C909+1)</f>
        <v>2043</v>
      </c>
      <c r="D910" s="732">
        <f t="shared" si="85"/>
        <v>2683091.3899786333</v>
      </c>
      <c r="E910" s="785">
        <f t="shared" si="86"/>
        <v>216087.89717948719</v>
      </c>
      <c r="F910" s="785">
        <f t="shared" si="79"/>
        <v>2467003.4927991461</v>
      </c>
      <c r="G910" s="732">
        <f t="shared" si="80"/>
        <v>2575047.4413888897</v>
      </c>
      <c r="H910" s="790">
        <f>+J878*G910+E910</f>
        <v>513892.54491170531</v>
      </c>
      <c r="I910" s="791">
        <f>+J879*G910+E910</f>
        <v>513892.54491170531</v>
      </c>
      <c r="J910" s="788">
        <f t="shared" si="81"/>
        <v>0</v>
      </c>
      <c r="K910" s="788"/>
      <c r="L910" s="1310"/>
      <c r="M910" s="788">
        <f t="shared" si="82"/>
        <v>0</v>
      </c>
      <c r="N910" s="1310"/>
      <c r="O910" s="788">
        <f t="shared" si="83"/>
        <v>0</v>
      </c>
      <c r="P910" s="788">
        <f t="shared" si="84"/>
        <v>0</v>
      </c>
    </row>
    <row r="911" spans="3:16">
      <c r="C911" s="784">
        <f>IF(D877="","-",+C910+1)</f>
        <v>2044</v>
      </c>
      <c r="D911" s="732">
        <f t="shared" si="85"/>
        <v>2467003.4927991461</v>
      </c>
      <c r="E911" s="785">
        <f t="shared" si="86"/>
        <v>216087.89717948719</v>
      </c>
      <c r="F911" s="785">
        <f t="shared" si="79"/>
        <v>2250915.5956196589</v>
      </c>
      <c r="G911" s="732">
        <f t="shared" si="80"/>
        <v>2358959.5442094025</v>
      </c>
      <c r="H911" s="790">
        <f>+J878*G911+E911</f>
        <v>488901.94510200864</v>
      </c>
      <c r="I911" s="791">
        <f>+J879*G911+E911</f>
        <v>488901.94510200864</v>
      </c>
      <c r="J911" s="788">
        <f t="shared" si="81"/>
        <v>0</v>
      </c>
      <c r="K911" s="788"/>
      <c r="L911" s="1310"/>
      <c r="M911" s="788">
        <f t="shared" si="82"/>
        <v>0</v>
      </c>
      <c r="N911" s="1310"/>
      <c r="O911" s="788">
        <f t="shared" si="83"/>
        <v>0</v>
      </c>
      <c r="P911" s="788">
        <f t="shared" si="84"/>
        <v>0</v>
      </c>
    </row>
    <row r="912" spans="3:16">
      <c r="C912" s="784">
        <f>IF(D877="","-",+C911+1)</f>
        <v>2045</v>
      </c>
      <c r="D912" s="732">
        <f t="shared" si="85"/>
        <v>2250915.5956196589</v>
      </c>
      <c r="E912" s="785">
        <f t="shared" si="86"/>
        <v>216087.89717948719</v>
      </c>
      <c r="F912" s="785">
        <f t="shared" si="79"/>
        <v>2034827.6984401718</v>
      </c>
      <c r="G912" s="732">
        <f t="shared" si="80"/>
        <v>2142871.6470299154</v>
      </c>
      <c r="H912" s="790">
        <f>+J878*G912+E912</f>
        <v>463911.34529231209</v>
      </c>
      <c r="I912" s="791">
        <f>+J879*G912+E912</f>
        <v>463911.34529231209</v>
      </c>
      <c r="J912" s="788">
        <f t="shared" si="81"/>
        <v>0</v>
      </c>
      <c r="K912" s="788"/>
      <c r="L912" s="1310"/>
      <c r="M912" s="788">
        <f t="shared" si="82"/>
        <v>0</v>
      </c>
      <c r="N912" s="1310"/>
      <c r="O912" s="788">
        <f t="shared" si="83"/>
        <v>0</v>
      </c>
      <c r="P912" s="788">
        <f t="shared" si="84"/>
        <v>0</v>
      </c>
    </row>
    <row r="913" spans="3:16">
      <c r="C913" s="784">
        <f>IF(D877="","-",+C912+1)</f>
        <v>2046</v>
      </c>
      <c r="D913" s="732">
        <f t="shared" si="85"/>
        <v>2034827.6984401718</v>
      </c>
      <c r="E913" s="785">
        <f t="shared" si="86"/>
        <v>216087.89717948719</v>
      </c>
      <c r="F913" s="785">
        <f t="shared" si="79"/>
        <v>1818739.8012606846</v>
      </c>
      <c r="G913" s="732">
        <f t="shared" si="80"/>
        <v>1926783.7498504282</v>
      </c>
      <c r="H913" s="790">
        <f>+J878*G913+E913</f>
        <v>438920.74548261543</v>
      </c>
      <c r="I913" s="791">
        <f>+J879*G913+E913</f>
        <v>438920.74548261543</v>
      </c>
      <c r="J913" s="788">
        <f t="shared" si="81"/>
        <v>0</v>
      </c>
      <c r="K913" s="788"/>
      <c r="L913" s="1310"/>
      <c r="M913" s="788">
        <f t="shared" si="82"/>
        <v>0</v>
      </c>
      <c r="N913" s="1310"/>
      <c r="O913" s="788">
        <f t="shared" si="83"/>
        <v>0</v>
      </c>
      <c r="P913" s="788">
        <f t="shared" si="84"/>
        <v>0</v>
      </c>
    </row>
    <row r="914" spans="3:16">
      <c r="C914" s="784">
        <f>IF(D877="","-",+C913+1)</f>
        <v>2047</v>
      </c>
      <c r="D914" s="732">
        <f t="shared" si="85"/>
        <v>1818739.8012606846</v>
      </c>
      <c r="E914" s="785">
        <f t="shared" si="86"/>
        <v>216087.89717948719</v>
      </c>
      <c r="F914" s="785">
        <f t="shared" si="79"/>
        <v>1602651.9040811975</v>
      </c>
      <c r="G914" s="732">
        <f t="shared" si="80"/>
        <v>1710695.852670941</v>
      </c>
      <c r="H914" s="790">
        <f>+J878*G914+E914</f>
        <v>413930.14567291888</v>
      </c>
      <c r="I914" s="791">
        <f>+J879*G914+E914</f>
        <v>413930.14567291888</v>
      </c>
      <c r="J914" s="788">
        <f t="shared" si="81"/>
        <v>0</v>
      </c>
      <c r="K914" s="788"/>
      <c r="L914" s="1310"/>
      <c r="M914" s="788">
        <f t="shared" si="82"/>
        <v>0</v>
      </c>
      <c r="N914" s="1310"/>
      <c r="O914" s="788">
        <f t="shared" si="83"/>
        <v>0</v>
      </c>
      <c r="P914" s="788">
        <f t="shared" si="84"/>
        <v>0</v>
      </c>
    </row>
    <row r="915" spans="3:16">
      <c r="C915" s="784">
        <f>IF(D877="","-",+C914+1)</f>
        <v>2048</v>
      </c>
      <c r="D915" s="732">
        <f t="shared" si="85"/>
        <v>1602651.9040811975</v>
      </c>
      <c r="E915" s="785">
        <f t="shared" si="86"/>
        <v>216087.89717948719</v>
      </c>
      <c r="F915" s="785">
        <f t="shared" si="79"/>
        <v>1386564.0069017103</v>
      </c>
      <c r="G915" s="732">
        <f t="shared" si="80"/>
        <v>1494607.9554914539</v>
      </c>
      <c r="H915" s="790">
        <f>+J878*G915+E915</f>
        <v>388939.54586322221</v>
      </c>
      <c r="I915" s="791">
        <f>+J879*G915+E915</f>
        <v>388939.54586322221</v>
      </c>
      <c r="J915" s="788">
        <f t="shared" si="81"/>
        <v>0</v>
      </c>
      <c r="K915" s="788"/>
      <c r="L915" s="1310"/>
      <c r="M915" s="788">
        <f t="shared" si="82"/>
        <v>0</v>
      </c>
      <c r="N915" s="1310"/>
      <c r="O915" s="788">
        <f t="shared" si="83"/>
        <v>0</v>
      </c>
      <c r="P915" s="788">
        <f t="shared" si="84"/>
        <v>0</v>
      </c>
    </row>
    <row r="916" spans="3:16">
      <c r="C916" s="784">
        <f>IF(D877="","-",+C915+1)</f>
        <v>2049</v>
      </c>
      <c r="D916" s="732">
        <f t="shared" si="85"/>
        <v>1386564.0069017103</v>
      </c>
      <c r="E916" s="785">
        <f t="shared" si="86"/>
        <v>216087.89717948719</v>
      </c>
      <c r="F916" s="785">
        <f t="shared" si="79"/>
        <v>1170476.1097222231</v>
      </c>
      <c r="G916" s="732">
        <f t="shared" si="80"/>
        <v>1278520.0583119667</v>
      </c>
      <c r="H916" s="790">
        <f>+J878*G916+E916</f>
        <v>363948.94605352561</v>
      </c>
      <c r="I916" s="791">
        <f>+J879*G916+E916</f>
        <v>363948.94605352561</v>
      </c>
      <c r="J916" s="788">
        <f t="shared" si="81"/>
        <v>0</v>
      </c>
      <c r="K916" s="788"/>
      <c r="L916" s="1310"/>
      <c r="M916" s="788">
        <f t="shared" si="82"/>
        <v>0</v>
      </c>
      <c r="N916" s="1310"/>
      <c r="O916" s="788">
        <f t="shared" si="83"/>
        <v>0</v>
      </c>
      <c r="P916" s="788">
        <f t="shared" si="84"/>
        <v>0</v>
      </c>
    </row>
    <row r="917" spans="3:16">
      <c r="C917" s="784">
        <f>IF(D877="","-",+C916+1)</f>
        <v>2050</v>
      </c>
      <c r="D917" s="732">
        <f t="shared" si="85"/>
        <v>1170476.1097222231</v>
      </c>
      <c r="E917" s="785">
        <f t="shared" si="86"/>
        <v>216087.89717948719</v>
      </c>
      <c r="F917" s="785">
        <f t="shared" si="79"/>
        <v>954388.21254273597</v>
      </c>
      <c r="G917" s="732">
        <f t="shared" si="80"/>
        <v>1062432.1611324796</v>
      </c>
      <c r="H917" s="790">
        <f>+J878*G917+E917</f>
        <v>338958.346243829</v>
      </c>
      <c r="I917" s="791">
        <f>+J879*G917+E917</f>
        <v>338958.346243829</v>
      </c>
      <c r="J917" s="788">
        <f t="shared" si="81"/>
        <v>0</v>
      </c>
      <c r="K917" s="788"/>
      <c r="L917" s="1310"/>
      <c r="M917" s="788">
        <f t="shared" si="82"/>
        <v>0</v>
      </c>
      <c r="N917" s="1310"/>
      <c r="O917" s="788">
        <f t="shared" si="83"/>
        <v>0</v>
      </c>
      <c r="P917" s="788">
        <f t="shared" si="84"/>
        <v>0</v>
      </c>
    </row>
    <row r="918" spans="3:16">
      <c r="C918" s="784">
        <f>IF(D877="","-",+C917+1)</f>
        <v>2051</v>
      </c>
      <c r="D918" s="732">
        <f t="shared" si="85"/>
        <v>954388.21254273597</v>
      </c>
      <c r="E918" s="785">
        <f t="shared" si="86"/>
        <v>216087.89717948719</v>
      </c>
      <c r="F918" s="785">
        <f t="shared" si="79"/>
        <v>738300.31536324881</v>
      </c>
      <c r="G918" s="732">
        <f t="shared" si="80"/>
        <v>846344.26395299239</v>
      </c>
      <c r="H918" s="790">
        <f>+J878*G918+E918</f>
        <v>313967.74643413239</v>
      </c>
      <c r="I918" s="791">
        <f>+J879*G918+E918</f>
        <v>313967.74643413239</v>
      </c>
      <c r="J918" s="788">
        <f t="shared" si="81"/>
        <v>0</v>
      </c>
      <c r="K918" s="788"/>
      <c r="L918" s="1310"/>
      <c r="M918" s="788">
        <f t="shared" si="82"/>
        <v>0</v>
      </c>
      <c r="N918" s="1310"/>
      <c r="O918" s="788">
        <f t="shared" si="83"/>
        <v>0</v>
      </c>
      <c r="P918" s="788">
        <f t="shared" si="84"/>
        <v>0</v>
      </c>
    </row>
    <row r="919" spans="3:16">
      <c r="C919" s="784">
        <f>IF(D877="","-",+C918+1)</f>
        <v>2052</v>
      </c>
      <c r="D919" s="732">
        <f t="shared" si="85"/>
        <v>738300.31536324881</v>
      </c>
      <c r="E919" s="785">
        <f t="shared" si="86"/>
        <v>216087.89717948719</v>
      </c>
      <c r="F919" s="785">
        <f t="shared" si="79"/>
        <v>522212.41818376165</v>
      </c>
      <c r="G919" s="732">
        <f t="shared" si="80"/>
        <v>630256.36677350523</v>
      </c>
      <c r="H919" s="790">
        <f>+J878*G919+E919</f>
        <v>288977.14662443579</v>
      </c>
      <c r="I919" s="791">
        <f>+J879*G919+E919</f>
        <v>288977.14662443579</v>
      </c>
      <c r="J919" s="788">
        <f t="shared" si="81"/>
        <v>0</v>
      </c>
      <c r="K919" s="788"/>
      <c r="L919" s="1310"/>
      <c r="M919" s="788">
        <f t="shared" si="82"/>
        <v>0</v>
      </c>
      <c r="N919" s="1310"/>
      <c r="O919" s="788">
        <f t="shared" si="83"/>
        <v>0</v>
      </c>
      <c r="P919" s="788">
        <f t="shared" si="84"/>
        <v>0</v>
      </c>
    </row>
    <row r="920" spans="3:16">
      <c r="C920" s="784">
        <f>IF(D877="","-",+C919+1)</f>
        <v>2053</v>
      </c>
      <c r="D920" s="732">
        <f t="shared" si="85"/>
        <v>522212.41818376165</v>
      </c>
      <c r="E920" s="785">
        <f t="shared" si="86"/>
        <v>216087.89717948719</v>
      </c>
      <c r="F920" s="785">
        <f t="shared" si="79"/>
        <v>306124.52100427449</v>
      </c>
      <c r="G920" s="732">
        <f t="shared" si="80"/>
        <v>414168.46959401807</v>
      </c>
      <c r="H920" s="790">
        <f>+J878*G920+E920</f>
        <v>263986.54681473912</v>
      </c>
      <c r="I920" s="791">
        <f>+J879*G920+E920</f>
        <v>263986.54681473912</v>
      </c>
      <c r="J920" s="788">
        <f t="shared" si="81"/>
        <v>0</v>
      </c>
      <c r="K920" s="788"/>
      <c r="L920" s="1310"/>
      <c r="M920" s="788">
        <f t="shared" si="82"/>
        <v>0</v>
      </c>
      <c r="N920" s="1310"/>
      <c r="O920" s="788">
        <f t="shared" si="83"/>
        <v>0</v>
      </c>
      <c r="P920" s="788">
        <f t="shared" si="84"/>
        <v>0</v>
      </c>
    </row>
    <row r="921" spans="3:16">
      <c r="C921" s="784">
        <f>IF(D877="","-",+C920+1)</f>
        <v>2054</v>
      </c>
      <c r="D921" s="732">
        <f t="shared" si="85"/>
        <v>306124.52100427449</v>
      </c>
      <c r="E921" s="785">
        <f t="shared" si="86"/>
        <v>216087.89717948719</v>
      </c>
      <c r="F921" s="785">
        <f t="shared" si="79"/>
        <v>90036.623824787297</v>
      </c>
      <c r="G921" s="732">
        <f t="shared" si="80"/>
        <v>198080.57241453091</v>
      </c>
      <c r="H921" s="790">
        <f>+J878*G921+E921</f>
        <v>238995.94700504254</v>
      </c>
      <c r="I921" s="791">
        <f>+J879*G921+E921</f>
        <v>238995.94700504254</v>
      </c>
      <c r="J921" s="788">
        <f t="shared" si="81"/>
        <v>0</v>
      </c>
      <c r="K921" s="788"/>
      <c r="L921" s="1310"/>
      <c r="M921" s="788">
        <f t="shared" si="82"/>
        <v>0</v>
      </c>
      <c r="N921" s="1310"/>
      <c r="O921" s="788">
        <f t="shared" si="83"/>
        <v>0</v>
      </c>
      <c r="P921" s="788">
        <f t="shared" si="84"/>
        <v>0</v>
      </c>
    </row>
    <row r="922" spans="3:16">
      <c r="C922" s="784">
        <f>IF(D877="","-",+C921+1)</f>
        <v>2055</v>
      </c>
      <c r="D922" s="732">
        <f t="shared" si="85"/>
        <v>90036.623824787297</v>
      </c>
      <c r="E922" s="785">
        <f t="shared" si="86"/>
        <v>90036.623824787297</v>
      </c>
      <c r="F922" s="785">
        <f t="shared" si="79"/>
        <v>0</v>
      </c>
      <c r="G922" s="732">
        <f t="shared" si="80"/>
        <v>45018.311912393649</v>
      </c>
      <c r="H922" s="790">
        <f>+J878*G922+E922</f>
        <v>95242.998785140808</v>
      </c>
      <c r="I922" s="791">
        <f>+J879*G922+E922</f>
        <v>95242.998785140808</v>
      </c>
      <c r="J922" s="788">
        <f t="shared" si="81"/>
        <v>0</v>
      </c>
      <c r="K922" s="788"/>
      <c r="L922" s="1310"/>
      <c r="M922" s="788">
        <f t="shared" si="82"/>
        <v>0</v>
      </c>
      <c r="N922" s="1310"/>
      <c r="O922" s="788">
        <f t="shared" si="83"/>
        <v>0</v>
      </c>
      <c r="P922" s="788">
        <f t="shared" si="84"/>
        <v>0</v>
      </c>
    </row>
    <row r="923" spans="3:16">
      <c r="C923" s="784">
        <f>IF(D877="","-",+C922+1)</f>
        <v>2056</v>
      </c>
      <c r="D923" s="732">
        <f t="shared" si="85"/>
        <v>0</v>
      </c>
      <c r="E923" s="785">
        <f t="shared" si="86"/>
        <v>0</v>
      </c>
      <c r="F923" s="785">
        <f t="shared" si="79"/>
        <v>0</v>
      </c>
      <c r="G923" s="732">
        <f t="shared" si="80"/>
        <v>0</v>
      </c>
      <c r="H923" s="790">
        <f>+J878*G923+E923</f>
        <v>0</v>
      </c>
      <c r="I923" s="791">
        <f>+J879*G923+E923</f>
        <v>0</v>
      </c>
      <c r="J923" s="788">
        <f t="shared" si="81"/>
        <v>0</v>
      </c>
      <c r="K923" s="788"/>
      <c r="L923" s="1310"/>
      <c r="M923" s="788">
        <f t="shared" si="82"/>
        <v>0</v>
      </c>
      <c r="N923" s="1310"/>
      <c r="O923" s="788">
        <f t="shared" si="83"/>
        <v>0</v>
      </c>
      <c r="P923" s="788">
        <f t="shared" si="84"/>
        <v>0</v>
      </c>
    </row>
    <row r="924" spans="3:16">
      <c r="C924" s="784">
        <f>IF(D877="","-",+C923+1)</f>
        <v>2057</v>
      </c>
      <c r="D924" s="732">
        <f t="shared" si="85"/>
        <v>0</v>
      </c>
      <c r="E924" s="785">
        <f t="shared" si="86"/>
        <v>0</v>
      </c>
      <c r="F924" s="785">
        <f t="shared" si="79"/>
        <v>0</v>
      </c>
      <c r="G924" s="732">
        <f t="shared" si="80"/>
        <v>0</v>
      </c>
      <c r="H924" s="790">
        <f>+J878*G924+E924</f>
        <v>0</v>
      </c>
      <c r="I924" s="791">
        <f>+J879*G924+E924</f>
        <v>0</v>
      </c>
      <c r="J924" s="788">
        <f t="shared" si="81"/>
        <v>0</v>
      </c>
      <c r="K924" s="788"/>
      <c r="L924" s="1310"/>
      <c r="M924" s="788">
        <f t="shared" si="82"/>
        <v>0</v>
      </c>
      <c r="N924" s="1310"/>
      <c r="O924" s="788">
        <f t="shared" si="83"/>
        <v>0</v>
      </c>
      <c r="P924" s="788">
        <f t="shared" si="84"/>
        <v>0</v>
      </c>
    </row>
    <row r="925" spans="3:16">
      <c r="C925" s="784">
        <f>IF(D877="","-",+C924+1)</f>
        <v>2058</v>
      </c>
      <c r="D925" s="732">
        <f t="shared" si="85"/>
        <v>0</v>
      </c>
      <c r="E925" s="785">
        <f t="shared" si="86"/>
        <v>0</v>
      </c>
      <c r="F925" s="785">
        <f t="shared" si="79"/>
        <v>0</v>
      </c>
      <c r="G925" s="732">
        <f t="shared" si="80"/>
        <v>0</v>
      </c>
      <c r="H925" s="790">
        <f>+J878*G925+E925</f>
        <v>0</v>
      </c>
      <c r="I925" s="791">
        <f>+J879*G925+E925</f>
        <v>0</v>
      </c>
      <c r="J925" s="788">
        <f t="shared" si="81"/>
        <v>0</v>
      </c>
      <c r="K925" s="788"/>
      <c r="L925" s="1310"/>
      <c r="M925" s="788">
        <f t="shared" si="82"/>
        <v>0</v>
      </c>
      <c r="N925" s="1310"/>
      <c r="O925" s="788">
        <f t="shared" si="83"/>
        <v>0</v>
      </c>
      <c r="P925" s="788">
        <f t="shared" si="84"/>
        <v>0</v>
      </c>
    </row>
    <row r="926" spans="3:16">
      <c r="C926" s="784">
        <f>IF(D877="","-",+C925+1)</f>
        <v>2059</v>
      </c>
      <c r="D926" s="732">
        <f t="shared" si="85"/>
        <v>0</v>
      </c>
      <c r="E926" s="785">
        <f t="shared" si="86"/>
        <v>0</v>
      </c>
      <c r="F926" s="785">
        <f t="shared" si="79"/>
        <v>0</v>
      </c>
      <c r="G926" s="732">
        <f t="shared" si="80"/>
        <v>0</v>
      </c>
      <c r="H926" s="790">
        <f>+J878*G926+E926</f>
        <v>0</v>
      </c>
      <c r="I926" s="791">
        <f>+J879*G926+E926</f>
        <v>0</v>
      </c>
      <c r="J926" s="788">
        <f t="shared" si="81"/>
        <v>0</v>
      </c>
      <c r="K926" s="788"/>
      <c r="L926" s="1310"/>
      <c r="M926" s="788">
        <f t="shared" si="82"/>
        <v>0</v>
      </c>
      <c r="N926" s="1310"/>
      <c r="O926" s="788">
        <f t="shared" si="83"/>
        <v>0</v>
      </c>
      <c r="P926" s="788">
        <f t="shared" si="84"/>
        <v>0</v>
      </c>
    </row>
    <row r="927" spans="3:16">
      <c r="C927" s="784">
        <f>IF(D877="","-",+C926+1)</f>
        <v>2060</v>
      </c>
      <c r="D927" s="732">
        <f t="shared" si="85"/>
        <v>0</v>
      </c>
      <c r="E927" s="785">
        <f t="shared" si="86"/>
        <v>0</v>
      </c>
      <c r="F927" s="785">
        <f t="shared" si="79"/>
        <v>0</v>
      </c>
      <c r="G927" s="732">
        <f t="shared" si="80"/>
        <v>0</v>
      </c>
      <c r="H927" s="790">
        <f>+J878*G927+E927</f>
        <v>0</v>
      </c>
      <c r="I927" s="791">
        <f>+J879*G927+E927</f>
        <v>0</v>
      </c>
      <c r="J927" s="788">
        <f t="shared" si="81"/>
        <v>0</v>
      </c>
      <c r="K927" s="788"/>
      <c r="L927" s="1310"/>
      <c r="M927" s="788">
        <f t="shared" si="82"/>
        <v>0</v>
      </c>
      <c r="N927" s="1310"/>
      <c r="O927" s="788">
        <f t="shared" si="83"/>
        <v>0</v>
      </c>
      <c r="P927" s="788">
        <f t="shared" si="84"/>
        <v>0</v>
      </c>
    </row>
    <row r="928" spans="3:16">
      <c r="C928" s="784">
        <f>IF(D877="","-",+C927+1)</f>
        <v>2061</v>
      </c>
      <c r="D928" s="732">
        <f t="shared" si="85"/>
        <v>0</v>
      </c>
      <c r="E928" s="785">
        <f t="shared" si="86"/>
        <v>0</v>
      </c>
      <c r="F928" s="785">
        <f t="shared" si="79"/>
        <v>0</v>
      </c>
      <c r="G928" s="732">
        <f t="shared" si="80"/>
        <v>0</v>
      </c>
      <c r="H928" s="790">
        <f>+J878*G928+E928</f>
        <v>0</v>
      </c>
      <c r="I928" s="791">
        <f>+J879*G928+E928</f>
        <v>0</v>
      </c>
      <c r="J928" s="788">
        <f t="shared" si="81"/>
        <v>0</v>
      </c>
      <c r="K928" s="788"/>
      <c r="L928" s="1310"/>
      <c r="M928" s="788">
        <f t="shared" si="82"/>
        <v>0</v>
      </c>
      <c r="N928" s="1310"/>
      <c r="O928" s="788">
        <f t="shared" si="83"/>
        <v>0</v>
      </c>
      <c r="P928" s="788">
        <f t="shared" si="84"/>
        <v>0</v>
      </c>
    </row>
    <row r="929" spans="3:16">
      <c r="C929" s="784">
        <f>IF(D877="","-",+C928+1)</f>
        <v>2062</v>
      </c>
      <c r="D929" s="732">
        <f t="shared" si="85"/>
        <v>0</v>
      </c>
      <c r="E929" s="785">
        <f t="shared" si="86"/>
        <v>0</v>
      </c>
      <c r="F929" s="785">
        <f t="shared" si="79"/>
        <v>0</v>
      </c>
      <c r="G929" s="732">
        <f t="shared" si="80"/>
        <v>0</v>
      </c>
      <c r="H929" s="790">
        <f>+J878*G929+E929</f>
        <v>0</v>
      </c>
      <c r="I929" s="791">
        <f>+J879*G929+E929</f>
        <v>0</v>
      </c>
      <c r="J929" s="788">
        <f t="shared" si="81"/>
        <v>0</v>
      </c>
      <c r="K929" s="788"/>
      <c r="L929" s="1310"/>
      <c r="M929" s="788">
        <f t="shared" si="82"/>
        <v>0</v>
      </c>
      <c r="N929" s="1310"/>
      <c r="O929" s="788">
        <f t="shared" si="83"/>
        <v>0</v>
      </c>
      <c r="P929" s="788">
        <f t="shared" si="84"/>
        <v>0</v>
      </c>
    </row>
    <row r="930" spans="3:16">
      <c r="C930" s="784">
        <f>IF(D877="","-",+C929+1)</f>
        <v>2063</v>
      </c>
      <c r="D930" s="732">
        <f t="shared" si="85"/>
        <v>0</v>
      </c>
      <c r="E930" s="785">
        <f t="shared" si="86"/>
        <v>0</v>
      </c>
      <c r="F930" s="785">
        <f t="shared" si="79"/>
        <v>0</v>
      </c>
      <c r="G930" s="732">
        <f t="shared" si="80"/>
        <v>0</v>
      </c>
      <c r="H930" s="790">
        <f>+J878*G930+E930</f>
        <v>0</v>
      </c>
      <c r="I930" s="791">
        <f>+J879*G930+E930</f>
        <v>0</v>
      </c>
      <c r="J930" s="788">
        <f t="shared" si="81"/>
        <v>0</v>
      </c>
      <c r="K930" s="788"/>
      <c r="L930" s="1310"/>
      <c r="M930" s="788">
        <f t="shared" si="82"/>
        <v>0</v>
      </c>
      <c r="N930" s="1310"/>
      <c r="O930" s="788">
        <f t="shared" si="83"/>
        <v>0</v>
      </c>
      <c r="P930" s="788">
        <f t="shared" si="84"/>
        <v>0</v>
      </c>
    </row>
    <row r="931" spans="3:16">
      <c r="C931" s="784">
        <f>IF(D877="","-",+C930+1)</f>
        <v>2064</v>
      </c>
      <c r="D931" s="732">
        <f t="shared" si="85"/>
        <v>0</v>
      </c>
      <c r="E931" s="785">
        <f t="shared" si="86"/>
        <v>0</v>
      </c>
      <c r="F931" s="785">
        <f t="shared" si="79"/>
        <v>0</v>
      </c>
      <c r="G931" s="732">
        <f t="shared" si="80"/>
        <v>0</v>
      </c>
      <c r="H931" s="790">
        <f>+J878*G931+E931</f>
        <v>0</v>
      </c>
      <c r="I931" s="791">
        <f>+J879*G931+E931</f>
        <v>0</v>
      </c>
      <c r="J931" s="788">
        <f t="shared" si="81"/>
        <v>0</v>
      </c>
      <c r="K931" s="788"/>
      <c r="L931" s="1310"/>
      <c r="M931" s="788">
        <f t="shared" si="82"/>
        <v>0</v>
      </c>
      <c r="N931" s="1310"/>
      <c r="O931" s="788">
        <f t="shared" si="83"/>
        <v>0</v>
      </c>
      <c r="P931" s="788">
        <f t="shared" si="84"/>
        <v>0</v>
      </c>
    </row>
    <row r="932" spans="3:16">
      <c r="C932" s="784">
        <f>IF(D877="","-",+C931+1)</f>
        <v>2065</v>
      </c>
      <c r="D932" s="732">
        <f t="shared" si="85"/>
        <v>0</v>
      </c>
      <c r="E932" s="785">
        <f t="shared" si="86"/>
        <v>0</v>
      </c>
      <c r="F932" s="785">
        <f t="shared" si="79"/>
        <v>0</v>
      </c>
      <c r="G932" s="732">
        <f t="shared" si="80"/>
        <v>0</v>
      </c>
      <c r="H932" s="790">
        <f>+J878*G932+E932</f>
        <v>0</v>
      </c>
      <c r="I932" s="791">
        <f>+J879*G932+E932</f>
        <v>0</v>
      </c>
      <c r="J932" s="788">
        <f t="shared" si="81"/>
        <v>0</v>
      </c>
      <c r="K932" s="788"/>
      <c r="L932" s="1310"/>
      <c r="M932" s="788">
        <f t="shared" si="82"/>
        <v>0</v>
      </c>
      <c r="N932" s="1310"/>
      <c r="O932" s="788">
        <f t="shared" si="83"/>
        <v>0</v>
      </c>
      <c r="P932" s="788">
        <f t="shared" si="84"/>
        <v>0</v>
      </c>
    </row>
    <row r="933" spans="3:16">
      <c r="C933" s="784">
        <f>IF(D877="","-",+C932+1)</f>
        <v>2066</v>
      </c>
      <c r="D933" s="732">
        <f t="shared" si="85"/>
        <v>0</v>
      </c>
      <c r="E933" s="785">
        <f t="shared" si="86"/>
        <v>0</v>
      </c>
      <c r="F933" s="785">
        <f t="shared" si="79"/>
        <v>0</v>
      </c>
      <c r="G933" s="732">
        <f t="shared" si="80"/>
        <v>0</v>
      </c>
      <c r="H933" s="790">
        <f>+J878*G933+E933</f>
        <v>0</v>
      </c>
      <c r="I933" s="791">
        <f>+J879*G933+E933</f>
        <v>0</v>
      </c>
      <c r="J933" s="788">
        <f t="shared" si="81"/>
        <v>0</v>
      </c>
      <c r="K933" s="788"/>
      <c r="L933" s="1310"/>
      <c r="M933" s="788">
        <f t="shared" si="82"/>
        <v>0</v>
      </c>
      <c r="N933" s="1310"/>
      <c r="O933" s="788">
        <f t="shared" si="83"/>
        <v>0</v>
      </c>
      <c r="P933" s="788">
        <f t="shared" si="84"/>
        <v>0</v>
      </c>
    </row>
    <row r="934" spans="3:16">
      <c r="C934" s="784">
        <f>IF(D877="","-",+C933+1)</f>
        <v>2067</v>
      </c>
      <c r="D934" s="732">
        <f t="shared" si="85"/>
        <v>0</v>
      </c>
      <c r="E934" s="785">
        <f t="shared" si="86"/>
        <v>0</v>
      </c>
      <c r="F934" s="785">
        <f t="shared" si="79"/>
        <v>0</v>
      </c>
      <c r="G934" s="732">
        <f t="shared" si="80"/>
        <v>0</v>
      </c>
      <c r="H934" s="790">
        <f>+J878*G934+E934</f>
        <v>0</v>
      </c>
      <c r="I934" s="791">
        <f>+J879*G934+E934</f>
        <v>0</v>
      </c>
      <c r="J934" s="788">
        <f t="shared" si="81"/>
        <v>0</v>
      </c>
      <c r="K934" s="788"/>
      <c r="L934" s="1310"/>
      <c r="M934" s="788">
        <f t="shared" si="82"/>
        <v>0</v>
      </c>
      <c r="N934" s="1310"/>
      <c r="O934" s="788">
        <f t="shared" si="83"/>
        <v>0</v>
      </c>
      <c r="P934" s="788">
        <f t="shared" si="84"/>
        <v>0</v>
      </c>
    </row>
    <row r="935" spans="3:16">
      <c r="C935" s="784">
        <f>IF(D877="","-",+C934+1)</f>
        <v>2068</v>
      </c>
      <c r="D935" s="732">
        <f t="shared" si="85"/>
        <v>0</v>
      </c>
      <c r="E935" s="785">
        <f t="shared" si="86"/>
        <v>0</v>
      </c>
      <c r="F935" s="785">
        <f t="shared" si="79"/>
        <v>0</v>
      </c>
      <c r="G935" s="732">
        <f t="shared" si="80"/>
        <v>0</v>
      </c>
      <c r="H935" s="790">
        <f>+J878*G935+E935</f>
        <v>0</v>
      </c>
      <c r="I935" s="791">
        <f>+J879*G935+E935</f>
        <v>0</v>
      </c>
      <c r="J935" s="788">
        <f t="shared" si="81"/>
        <v>0</v>
      </c>
      <c r="K935" s="788"/>
      <c r="L935" s="1310"/>
      <c r="M935" s="788">
        <f t="shared" si="82"/>
        <v>0</v>
      </c>
      <c r="N935" s="1310"/>
      <c r="O935" s="788">
        <f t="shared" si="83"/>
        <v>0</v>
      </c>
      <c r="P935" s="788">
        <f t="shared" si="84"/>
        <v>0</v>
      </c>
    </row>
    <row r="936" spans="3:16">
      <c r="C936" s="784">
        <f>IF(D877="","-",+C935+1)</f>
        <v>2069</v>
      </c>
      <c r="D936" s="732">
        <f t="shared" si="85"/>
        <v>0</v>
      </c>
      <c r="E936" s="785">
        <f t="shared" si="86"/>
        <v>0</v>
      </c>
      <c r="F936" s="785">
        <f t="shared" si="79"/>
        <v>0</v>
      </c>
      <c r="G936" s="732">
        <f t="shared" si="80"/>
        <v>0</v>
      </c>
      <c r="H936" s="790">
        <f>+J878*G936+E936</f>
        <v>0</v>
      </c>
      <c r="I936" s="791">
        <f>+J879*G936+E936</f>
        <v>0</v>
      </c>
      <c r="J936" s="788">
        <f t="shared" si="81"/>
        <v>0</v>
      </c>
      <c r="K936" s="788"/>
      <c r="L936" s="1310"/>
      <c r="M936" s="788">
        <f t="shared" si="82"/>
        <v>0</v>
      </c>
      <c r="N936" s="1310"/>
      <c r="O936" s="788">
        <f t="shared" si="83"/>
        <v>0</v>
      </c>
      <c r="P936" s="788">
        <f t="shared" si="84"/>
        <v>0</v>
      </c>
    </row>
    <row r="937" spans="3:16">
      <c r="C937" s="784">
        <f>IF(D877="","-",+C936+1)</f>
        <v>2070</v>
      </c>
      <c r="D937" s="732">
        <f t="shared" si="85"/>
        <v>0</v>
      </c>
      <c r="E937" s="785">
        <f t="shared" si="86"/>
        <v>0</v>
      </c>
      <c r="F937" s="785">
        <f t="shared" si="79"/>
        <v>0</v>
      </c>
      <c r="G937" s="732">
        <f t="shared" si="80"/>
        <v>0</v>
      </c>
      <c r="H937" s="790">
        <f>+J878*G937+E937</f>
        <v>0</v>
      </c>
      <c r="I937" s="791">
        <f>+J879*G937+E937</f>
        <v>0</v>
      </c>
      <c r="J937" s="788">
        <f t="shared" si="81"/>
        <v>0</v>
      </c>
      <c r="K937" s="788"/>
      <c r="L937" s="1310"/>
      <c r="M937" s="788">
        <f t="shared" si="82"/>
        <v>0</v>
      </c>
      <c r="N937" s="1310"/>
      <c r="O937" s="788">
        <f t="shared" si="83"/>
        <v>0</v>
      </c>
      <c r="P937" s="788">
        <f t="shared" si="84"/>
        <v>0</v>
      </c>
    </row>
    <row r="938" spans="3:16">
      <c r="C938" s="784">
        <f>IF(D877="","-",+C937+1)</f>
        <v>2071</v>
      </c>
      <c r="D938" s="732">
        <f t="shared" si="85"/>
        <v>0</v>
      </c>
      <c r="E938" s="785">
        <f t="shared" si="86"/>
        <v>0</v>
      </c>
      <c r="F938" s="785">
        <f t="shared" si="79"/>
        <v>0</v>
      </c>
      <c r="G938" s="732">
        <f t="shared" si="80"/>
        <v>0</v>
      </c>
      <c r="H938" s="790">
        <f>+J878*G938+E938</f>
        <v>0</v>
      </c>
      <c r="I938" s="791">
        <f>+J879*G938+E938</f>
        <v>0</v>
      </c>
      <c r="J938" s="788">
        <f t="shared" si="81"/>
        <v>0</v>
      </c>
      <c r="K938" s="788"/>
      <c r="L938" s="1310"/>
      <c r="M938" s="788">
        <f t="shared" si="82"/>
        <v>0</v>
      </c>
      <c r="N938" s="1310"/>
      <c r="O938" s="788">
        <f t="shared" si="83"/>
        <v>0</v>
      </c>
      <c r="P938" s="788">
        <f t="shared" si="84"/>
        <v>0</v>
      </c>
    </row>
    <row r="939" spans="3:16">
      <c r="C939" s="784">
        <f>IF(D877="","-",+C938+1)</f>
        <v>2072</v>
      </c>
      <c r="D939" s="732">
        <f t="shared" si="85"/>
        <v>0</v>
      </c>
      <c r="E939" s="785">
        <f t="shared" si="86"/>
        <v>0</v>
      </c>
      <c r="F939" s="785">
        <f t="shared" si="79"/>
        <v>0</v>
      </c>
      <c r="G939" s="732">
        <f t="shared" si="80"/>
        <v>0</v>
      </c>
      <c r="H939" s="790">
        <f>+J878*G939+E939</f>
        <v>0</v>
      </c>
      <c r="I939" s="791">
        <f>+J879*G939+E939</f>
        <v>0</v>
      </c>
      <c r="J939" s="788">
        <f t="shared" si="81"/>
        <v>0</v>
      </c>
      <c r="K939" s="788"/>
      <c r="L939" s="1310"/>
      <c r="M939" s="788">
        <f t="shared" si="82"/>
        <v>0</v>
      </c>
      <c r="N939" s="1310"/>
      <c r="O939" s="788">
        <f t="shared" si="83"/>
        <v>0</v>
      </c>
      <c r="P939" s="788">
        <f t="shared" si="84"/>
        <v>0</v>
      </c>
    </row>
    <row r="940" spans="3:16">
      <c r="C940" s="784">
        <f>IF(D877="","-",+C939+1)</f>
        <v>2073</v>
      </c>
      <c r="D940" s="732">
        <f t="shared" si="85"/>
        <v>0</v>
      </c>
      <c r="E940" s="785">
        <f t="shared" si="86"/>
        <v>0</v>
      </c>
      <c r="F940" s="785">
        <f t="shared" si="79"/>
        <v>0</v>
      </c>
      <c r="G940" s="732">
        <f t="shared" si="80"/>
        <v>0</v>
      </c>
      <c r="H940" s="790">
        <f>+J878*G940+E940</f>
        <v>0</v>
      </c>
      <c r="I940" s="791">
        <f>+J879*G940+E940</f>
        <v>0</v>
      </c>
      <c r="J940" s="788">
        <f t="shared" si="81"/>
        <v>0</v>
      </c>
      <c r="K940" s="788"/>
      <c r="L940" s="1310"/>
      <c r="M940" s="788">
        <f t="shared" si="82"/>
        <v>0</v>
      </c>
      <c r="N940" s="1310"/>
      <c r="O940" s="788">
        <f t="shared" si="83"/>
        <v>0</v>
      </c>
      <c r="P940" s="788">
        <f t="shared" si="84"/>
        <v>0</v>
      </c>
    </row>
    <row r="941" spans="3:16">
      <c r="C941" s="784">
        <f>IF(D877="","-",+C940+1)</f>
        <v>2074</v>
      </c>
      <c r="D941" s="732">
        <f t="shared" si="85"/>
        <v>0</v>
      </c>
      <c r="E941" s="785">
        <f t="shared" si="86"/>
        <v>0</v>
      </c>
      <c r="F941" s="785">
        <f t="shared" si="79"/>
        <v>0</v>
      </c>
      <c r="G941" s="732">
        <f t="shared" si="80"/>
        <v>0</v>
      </c>
      <c r="H941" s="790">
        <f>+J878*G941+E941</f>
        <v>0</v>
      </c>
      <c r="I941" s="791">
        <f>+J879*G941+E941</f>
        <v>0</v>
      </c>
      <c r="J941" s="788">
        <f t="shared" si="81"/>
        <v>0</v>
      </c>
      <c r="K941" s="788"/>
      <c r="L941" s="1310"/>
      <c r="M941" s="788">
        <f t="shared" si="82"/>
        <v>0</v>
      </c>
      <c r="N941" s="1310"/>
      <c r="O941" s="788">
        <f t="shared" si="83"/>
        <v>0</v>
      </c>
      <c r="P941" s="788">
        <f t="shared" si="84"/>
        <v>0</v>
      </c>
    </row>
    <row r="942" spans="3:16" ht="13.5" thickBot="1">
      <c r="C942" s="794">
        <f>IF(D877="","-",+C941+1)</f>
        <v>2075</v>
      </c>
      <c r="D942" s="795">
        <f t="shared" si="85"/>
        <v>0</v>
      </c>
      <c r="E942" s="796">
        <f t="shared" si="86"/>
        <v>0</v>
      </c>
      <c r="F942" s="796">
        <f t="shared" si="79"/>
        <v>0</v>
      </c>
      <c r="G942" s="795">
        <f t="shared" si="80"/>
        <v>0</v>
      </c>
      <c r="H942" s="797">
        <f>+J878*G942+E942</f>
        <v>0</v>
      </c>
      <c r="I942" s="797">
        <f>+J879*G942+E942</f>
        <v>0</v>
      </c>
      <c r="J942" s="798">
        <f t="shared" si="81"/>
        <v>0</v>
      </c>
      <c r="K942" s="788"/>
      <c r="L942" s="1311"/>
      <c r="M942" s="798">
        <f t="shared" si="82"/>
        <v>0</v>
      </c>
      <c r="N942" s="1311"/>
      <c r="O942" s="798">
        <f t="shared" si="83"/>
        <v>0</v>
      </c>
      <c r="P942" s="798">
        <f t="shared" si="84"/>
        <v>0</v>
      </c>
    </row>
    <row r="943" spans="3:16">
      <c r="C943" s="732" t="s">
        <v>93</v>
      </c>
      <c r="D943" s="726"/>
      <c r="E943" s="726">
        <f>SUM(E883:E942)</f>
        <v>8427427.9900000002</v>
      </c>
      <c r="F943" s="726"/>
      <c r="G943" s="726"/>
      <c r="H943" s="726">
        <f>SUM(H883:H942)</f>
        <v>27838876.392181855</v>
      </c>
      <c r="I943" s="726">
        <f>SUM(I883:I942)</f>
        <v>27838876.392181855</v>
      </c>
      <c r="J943" s="726">
        <f>SUM(J883:J942)</f>
        <v>0</v>
      </c>
      <c r="K943" s="726"/>
      <c r="L943" s="726"/>
      <c r="M943" s="726"/>
      <c r="N943" s="726"/>
      <c r="O943" s="726"/>
    </row>
    <row r="944" spans="3:16">
      <c r="D944" s="534"/>
      <c r="E944" s="313"/>
      <c r="F944" s="313"/>
      <c r="G944" s="313"/>
      <c r="H944" s="313"/>
      <c r="I944" s="704"/>
      <c r="J944" s="704"/>
      <c r="K944" s="726"/>
      <c r="L944" s="704"/>
      <c r="M944" s="704"/>
      <c r="N944" s="704"/>
      <c r="O944" s="704"/>
    </row>
    <row r="945" spans="3:15">
      <c r="C945" s="313" t="s">
        <v>15</v>
      </c>
      <c r="D945" s="534"/>
      <c r="E945" s="313"/>
      <c r="F945" s="313"/>
      <c r="G945" s="313"/>
      <c r="H945" s="313"/>
      <c r="I945" s="704"/>
      <c r="J945" s="704"/>
      <c r="K945" s="726"/>
      <c r="L945" s="704"/>
      <c r="M945" s="704"/>
      <c r="N945" s="704"/>
      <c r="O945" s="704"/>
    </row>
    <row r="946" spans="3:15">
      <c r="C946" s="313"/>
      <c r="D946" s="534"/>
      <c r="E946" s="313"/>
      <c r="F946" s="313"/>
      <c r="G946" s="313"/>
      <c r="H946" s="313"/>
      <c r="I946" s="704"/>
      <c r="J946" s="704"/>
      <c r="K946" s="726"/>
      <c r="L946" s="704"/>
      <c r="M946" s="704"/>
      <c r="N946" s="704"/>
      <c r="O946" s="704"/>
    </row>
    <row r="947" spans="3:15">
      <c r="C947" s="745" t="s">
        <v>16</v>
      </c>
      <c r="D947" s="732"/>
      <c r="E947" s="732"/>
      <c r="F947" s="732"/>
      <c r="G947" s="732"/>
      <c r="H947" s="726"/>
      <c r="I947" s="726"/>
      <c r="J947" s="800"/>
      <c r="K947" s="800"/>
      <c r="L947" s="800"/>
      <c r="M947" s="800"/>
      <c r="N947" s="800"/>
      <c r="O947" s="800"/>
    </row>
    <row r="948" spans="3:15">
      <c r="C948" s="731" t="s">
        <v>273</v>
      </c>
      <c r="D948" s="732"/>
      <c r="E948" s="732"/>
      <c r="F948" s="732"/>
      <c r="G948" s="732"/>
      <c r="H948" s="726"/>
      <c r="I948" s="726"/>
      <c r="J948" s="800"/>
      <c r="K948" s="800"/>
      <c r="L948" s="800"/>
      <c r="M948" s="800"/>
      <c r="N948" s="800"/>
      <c r="O948" s="800"/>
    </row>
    <row r="949" spans="3:15">
      <c r="C949" s="731" t="s">
        <v>94</v>
      </c>
      <c r="D949" s="732"/>
      <c r="E949" s="732"/>
      <c r="F949" s="732"/>
      <c r="G949" s="732"/>
      <c r="H949" s="726"/>
      <c r="I949" s="726"/>
      <c r="J949" s="800"/>
      <c r="K949" s="800"/>
      <c r="L949" s="800"/>
      <c r="M949" s="800"/>
      <c r="N949" s="800"/>
      <c r="O949" s="800"/>
    </row>
  </sheetData>
  <mergeCells count="29">
    <mergeCell ref="D872:I873"/>
    <mergeCell ref="L876:O876"/>
    <mergeCell ref="L789:O789"/>
    <mergeCell ref="L702:O702"/>
    <mergeCell ref="D785:I786"/>
    <mergeCell ref="D698:I699"/>
    <mergeCell ref="D437:I438"/>
    <mergeCell ref="J77:P80"/>
    <mergeCell ref="L180:O180"/>
    <mergeCell ref="D176:I177"/>
    <mergeCell ref="D263:I264"/>
    <mergeCell ref="L267:O267"/>
    <mergeCell ref="D350:I351"/>
    <mergeCell ref="L354:O354"/>
    <mergeCell ref="L93:O93"/>
    <mergeCell ref="D89:I89"/>
    <mergeCell ref="L441:O441"/>
    <mergeCell ref="D524:I525"/>
    <mergeCell ref="L528:O528"/>
    <mergeCell ref="D611:I612"/>
    <mergeCell ref="L615:O615"/>
    <mergeCell ref="C51:D52"/>
    <mergeCell ref="C60:D61"/>
    <mergeCell ref="C71:D72"/>
    <mergeCell ref="A3:P3"/>
    <mergeCell ref="C11:I12"/>
    <mergeCell ref="A4:P4"/>
    <mergeCell ref="A5:P5"/>
    <mergeCell ref="A6:P6"/>
  </mergeCells>
  <phoneticPr fontId="0" type="noConversion"/>
  <conditionalFormatting sqref="C100:C159">
    <cfRule type="cellIs" dxfId="13" priority="20" stopIfTrue="1" operator="equal">
      <formula>$J$92</formula>
    </cfRule>
  </conditionalFormatting>
  <conditionalFormatting sqref="C187:C246">
    <cfRule type="cellIs" dxfId="12" priority="9" stopIfTrue="1" operator="equal">
      <formula>$J$92</formula>
    </cfRule>
  </conditionalFormatting>
  <conditionalFormatting sqref="C274:C333">
    <cfRule type="cellIs" dxfId="11" priority="8" stopIfTrue="1" operator="equal">
      <formula>$J$92</formula>
    </cfRule>
  </conditionalFormatting>
  <conditionalFormatting sqref="C361:C420">
    <cfRule type="cellIs" dxfId="10" priority="7" stopIfTrue="1" operator="equal">
      <formula>$J$92</formula>
    </cfRule>
  </conditionalFormatting>
  <conditionalFormatting sqref="C448:C507">
    <cfRule type="cellIs" dxfId="9" priority="6" stopIfTrue="1" operator="equal">
      <formula>$J$92</formula>
    </cfRule>
  </conditionalFormatting>
  <conditionalFormatting sqref="C535:C594">
    <cfRule type="cellIs" dxfId="8" priority="5" stopIfTrue="1" operator="equal">
      <formula>$J$92</formula>
    </cfRule>
  </conditionalFormatting>
  <conditionalFormatting sqref="C622:C681">
    <cfRule type="cellIs" dxfId="7" priority="4" stopIfTrue="1" operator="equal">
      <formula>$J$92</formula>
    </cfRule>
  </conditionalFormatting>
  <conditionalFormatting sqref="C709:C768">
    <cfRule type="cellIs" dxfId="6" priority="3" stopIfTrue="1" operator="equal">
      <formula>$J$92</formula>
    </cfRule>
  </conditionalFormatting>
  <conditionalFormatting sqref="C796:C855">
    <cfRule type="cellIs" dxfId="5" priority="2" stopIfTrue="1" operator="equal">
      <formula>$J$92</formula>
    </cfRule>
  </conditionalFormatting>
  <conditionalFormatting sqref="C883:C942">
    <cfRule type="cellIs" dxfId="4" priority="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0" manualBreakCount="10">
    <brk id="80" max="15" man="1"/>
    <brk id="166" max="15" man="1"/>
    <brk id="254" max="15" man="1"/>
    <brk id="341" max="15" man="1"/>
    <brk id="428" max="15" man="1"/>
    <brk id="515" max="15" man="1"/>
    <brk id="602" max="15" man="1"/>
    <brk id="689" max="15" man="1"/>
    <brk id="776" max="15" man="1"/>
    <brk id="862"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0" t="s">
        <v>416</v>
      </c>
    </row>
    <row r="2" spans="1:5" ht="15.75">
      <c r="A2" s="1000" t="s">
        <v>416</v>
      </c>
    </row>
    <row r="3" spans="1:5" ht="15">
      <c r="B3" s="1510" t="str">
        <f>TCOS!$F$5</f>
        <v>AEPTCo subsidiaries in PJM</v>
      </c>
      <c r="C3" s="1510" t="str">
        <f>TCOS!$F$5</f>
        <v>AEPTCo subsidiaries in PJM</v>
      </c>
      <c r="D3" s="1510" t="str">
        <f>TCOS!$F$5</f>
        <v>AEPTCo subsidiaries in PJM</v>
      </c>
      <c r="E3" s="1510" t="str">
        <f>TCOS!$F$5</f>
        <v>AEPTCo subsidiaries in PJM</v>
      </c>
    </row>
    <row r="4" spans="1:5" ht="15">
      <c r="B4" s="1502" t="str">
        <f>"Cost of Service Formula Rate Using Actual/Projected FF1 Balances"</f>
        <v>Cost of Service Formula Rate Using Actual/Projected FF1 Balances</v>
      </c>
      <c r="C4" s="1502"/>
      <c r="D4" s="1502"/>
      <c r="E4" s="1502"/>
    </row>
    <row r="5" spans="1:5" ht="15">
      <c r="B5" s="1510" t="s">
        <v>599</v>
      </c>
      <c r="C5" s="1510"/>
      <c r="D5" s="1510"/>
      <c r="E5" s="1510"/>
    </row>
    <row r="6" spans="1:5" ht="15">
      <c r="B6" s="1513" t="str">
        <f>+TCOS!F9</f>
        <v>AEP Indiana Michigan Transmission Company</v>
      </c>
      <c r="C6" s="1510"/>
      <c r="D6" s="1510"/>
      <c r="E6" s="1510"/>
    </row>
    <row r="8" spans="1:5" ht="18.75" customHeight="1">
      <c r="B8" s="8" t="s">
        <v>416</v>
      </c>
      <c r="C8" s="76"/>
      <c r="D8" s="91"/>
    </row>
    <row r="9" spans="1:5">
      <c r="B9" s="90"/>
      <c r="C9" s="76"/>
      <c r="D9" s="91"/>
    </row>
    <row r="10" spans="1:5">
      <c r="B10" s="92" t="s">
        <v>563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L76"/>
  <sheetViews>
    <sheetView topLeftCell="A19" zoomScaleNormal="100" zoomScaleSheetLayoutView="70" workbookViewId="0">
      <selection activeCell="D51" sqref="D51"/>
    </sheetView>
  </sheetViews>
  <sheetFormatPr defaultColWidth="11.42578125" defaultRowHeight="12.75"/>
  <cols>
    <col min="1" max="1" width="10.28515625" style="1181" customWidth="1"/>
    <col min="2" max="2" width="52.28515625" style="1154" customWidth="1"/>
    <col min="3" max="7" width="20.28515625" style="1154" customWidth="1"/>
    <col min="8" max="8" width="23" style="1154" customWidth="1"/>
    <col min="9" max="11" width="20.28515625" style="1154" customWidth="1"/>
    <col min="12" max="12" width="20" style="1154" customWidth="1"/>
    <col min="13" max="14" width="15.140625" style="1154" customWidth="1"/>
    <col min="15" max="16384" width="11.42578125" style="1154"/>
  </cols>
  <sheetData>
    <row r="1" spans="1:12" ht="15">
      <c r="A1" s="1573" t="str">
        <f>TCOS!F5</f>
        <v>AEPTCo subsidiaries in PJM</v>
      </c>
      <c r="B1" s="1573" t="s">
        <v>331</v>
      </c>
      <c r="C1" s="1573" t="s">
        <v>331</v>
      </c>
      <c r="D1" s="1573" t="s">
        <v>331</v>
      </c>
      <c r="E1" s="1573" t="s">
        <v>331</v>
      </c>
      <c r="F1" s="1573" t="s">
        <v>331</v>
      </c>
      <c r="G1" s="1573" t="s">
        <v>331</v>
      </c>
      <c r="H1" s="1153"/>
    </row>
    <row r="2" spans="1:12" ht="15">
      <c r="A2" s="1502" t="str">
        <f>"Cost of Service Formula Rate Using Actual/Projected FF1 Balances"</f>
        <v>Cost of Service Formula Rate Using Actual/Projected FF1 Balances</v>
      </c>
      <c r="B2" s="1502"/>
      <c r="C2" s="1502"/>
      <c r="D2" s="1502"/>
      <c r="E2" s="1502"/>
      <c r="F2" s="1502"/>
      <c r="G2" s="1502"/>
      <c r="H2" s="1155"/>
      <c r="I2" s="1155"/>
      <c r="J2" s="1155"/>
      <c r="L2" s="1156"/>
    </row>
    <row r="3" spans="1:12" ht="15">
      <c r="A3" s="1502" t="s">
        <v>734</v>
      </c>
      <c r="B3" s="1502"/>
      <c r="C3" s="1502"/>
      <c r="D3" s="1502"/>
      <c r="E3" s="1502"/>
      <c r="F3" s="1502"/>
      <c r="G3" s="1502"/>
      <c r="H3" s="1155"/>
      <c r="I3" s="1155"/>
      <c r="J3" s="1155"/>
    </row>
    <row r="4" spans="1:12" ht="15">
      <c r="A4" s="1508" t="str">
        <f>TCOS!F9</f>
        <v>AEP Indiana Michigan Transmission Company</v>
      </c>
      <c r="B4" s="1508"/>
      <c r="C4" s="1508"/>
      <c r="D4" s="1508"/>
      <c r="E4" s="1508"/>
      <c r="F4" s="1508"/>
      <c r="G4" s="1508"/>
      <c r="H4" s="1155"/>
      <c r="I4" s="1155"/>
      <c r="J4" s="1155"/>
    </row>
    <row r="5" spans="1:12">
      <c r="A5" s="1155"/>
      <c r="B5" s="1157"/>
      <c r="C5" s="1157"/>
      <c r="D5" s="1157"/>
      <c r="E5" s="1158"/>
      <c r="F5" s="1159"/>
      <c r="H5" s="1011"/>
      <c r="I5" s="1011"/>
      <c r="J5" s="1011"/>
      <c r="K5" s="1011"/>
      <c r="L5" s="1011"/>
    </row>
    <row r="6" spans="1:12" ht="12.75" customHeight="1">
      <c r="A6" s="1153"/>
      <c r="B6" s="1072"/>
      <c r="C6" s="1503" t="s">
        <v>341</v>
      </c>
      <c r="D6" s="1504"/>
      <c r="E6" s="1504"/>
      <c r="F6" s="1504"/>
      <c r="G6" s="1505"/>
      <c r="H6" s="1160"/>
      <c r="I6" s="1011"/>
      <c r="J6" s="1011"/>
      <c r="K6" s="1011"/>
      <c r="L6" s="1011"/>
    </row>
    <row r="7" spans="1:12" s="1163" customFormat="1" ht="38.25">
      <c r="A7" s="1161" t="s">
        <v>703</v>
      </c>
      <c r="B7" s="1077" t="s">
        <v>704</v>
      </c>
      <c r="C7" s="1107" t="s">
        <v>735</v>
      </c>
      <c r="D7" s="1078" t="s">
        <v>173</v>
      </c>
      <c r="E7" s="1078" t="s">
        <v>736</v>
      </c>
      <c r="F7" s="1078" t="s">
        <v>737</v>
      </c>
      <c r="G7" s="1162" t="s">
        <v>341</v>
      </c>
      <c r="H7" s="1160"/>
      <c r="I7" s="1011"/>
      <c r="J7" s="1011"/>
      <c r="K7" s="1011"/>
      <c r="L7" s="1011"/>
    </row>
    <row r="8" spans="1:12" s="1166" customFormat="1">
      <c r="A8" s="1164"/>
      <c r="B8" s="1082" t="s">
        <v>708</v>
      </c>
      <c r="C8" s="1108" t="s">
        <v>725</v>
      </c>
      <c r="D8" s="1083" t="s">
        <v>726</v>
      </c>
      <c r="E8" s="1083" t="s">
        <v>709</v>
      </c>
      <c r="F8" s="1083" t="s">
        <v>710</v>
      </c>
      <c r="G8" s="1165" t="s">
        <v>738</v>
      </c>
      <c r="H8" s="1160"/>
      <c r="I8" s="1011"/>
      <c r="J8" s="1011"/>
      <c r="K8" s="1011"/>
      <c r="L8" s="1011"/>
    </row>
    <row r="9" spans="1:12" s="1166" customFormat="1" ht="44.25" customHeight="1">
      <c r="A9" s="1164"/>
      <c r="B9" s="1082" t="s">
        <v>714</v>
      </c>
      <c r="C9" s="1167" t="s">
        <v>739</v>
      </c>
      <c r="D9" s="1086" t="s">
        <v>740</v>
      </c>
      <c r="E9" s="1086" t="s">
        <v>741</v>
      </c>
      <c r="F9" s="1086" t="s">
        <v>742</v>
      </c>
      <c r="G9" s="1168"/>
      <c r="H9" s="1160"/>
      <c r="I9" s="1011"/>
      <c r="J9" s="1011"/>
      <c r="K9" s="1011"/>
      <c r="L9" s="1011"/>
    </row>
    <row r="10" spans="1:12">
      <c r="A10" s="1164">
        <v>1</v>
      </c>
      <c r="B10" s="1088" t="s">
        <v>715</v>
      </c>
      <c r="C10" s="1169">
        <v>1344361883.7579999</v>
      </c>
      <c r="D10" s="1169">
        <v>0</v>
      </c>
      <c r="E10" s="1169">
        <v>0</v>
      </c>
      <c r="F10" s="1169">
        <v>0</v>
      </c>
      <c r="G10" s="1170">
        <f>+C10-D10-E10-F10</f>
        <v>1344361883.7579999</v>
      </c>
      <c r="H10" s="1160"/>
      <c r="I10" s="1011"/>
      <c r="J10" s="1011"/>
      <c r="K10" s="1011"/>
      <c r="L10" s="1011"/>
    </row>
    <row r="11" spans="1:12">
      <c r="A11" s="1164">
        <f>+A10+1</f>
        <v>2</v>
      </c>
      <c r="B11" s="1088" t="s">
        <v>576</v>
      </c>
      <c r="C11" s="1169">
        <v>1399178485.3109999</v>
      </c>
      <c r="D11" s="1169">
        <v>0</v>
      </c>
      <c r="E11" s="1169">
        <v>0</v>
      </c>
      <c r="F11" s="1169">
        <v>0</v>
      </c>
      <c r="G11" s="1170">
        <f t="shared" ref="G11:G22" si="0">+C11-D11-E11-F11</f>
        <v>1399178485.3109999</v>
      </c>
      <c r="H11" s="1160"/>
      <c r="I11" s="1011"/>
      <c r="J11" s="1011"/>
      <c r="K11" s="1011"/>
      <c r="L11" s="1011"/>
    </row>
    <row r="12" spans="1:12">
      <c r="A12" s="1164">
        <f t="shared" ref="A12:A23" si="1">+A11+1</f>
        <v>3</v>
      </c>
      <c r="B12" s="1090" t="s">
        <v>577</v>
      </c>
      <c r="C12" s="1169">
        <v>1411716381.1689999</v>
      </c>
      <c r="D12" s="1169">
        <v>0</v>
      </c>
      <c r="E12" s="1169">
        <v>0</v>
      </c>
      <c r="F12" s="1169">
        <v>0</v>
      </c>
      <c r="G12" s="1170">
        <f t="shared" si="0"/>
        <v>1411716381.1689999</v>
      </c>
      <c r="H12" s="1160"/>
      <c r="I12" s="1011"/>
      <c r="J12" s="1011"/>
      <c r="K12" s="1011"/>
      <c r="L12" s="1011"/>
    </row>
    <row r="13" spans="1:12">
      <c r="A13" s="1164">
        <f t="shared" si="1"/>
        <v>4</v>
      </c>
      <c r="B13" s="1090" t="s">
        <v>716</v>
      </c>
      <c r="C13" s="1169">
        <v>1425923676.516</v>
      </c>
      <c r="D13" s="1169">
        <v>0</v>
      </c>
      <c r="E13" s="1169">
        <v>0</v>
      </c>
      <c r="F13" s="1169">
        <v>0</v>
      </c>
      <c r="G13" s="1170">
        <f t="shared" si="0"/>
        <v>1425923676.516</v>
      </c>
      <c r="H13" s="1160"/>
      <c r="I13" s="1011"/>
      <c r="J13" s="1011"/>
      <c r="K13" s="1011"/>
      <c r="L13" s="1011"/>
    </row>
    <row r="14" spans="1:12">
      <c r="A14" s="1164">
        <f t="shared" si="1"/>
        <v>5</v>
      </c>
      <c r="B14" s="1090" t="s">
        <v>579</v>
      </c>
      <c r="C14" s="1169">
        <v>1439536063.069</v>
      </c>
      <c r="D14" s="1169">
        <v>0</v>
      </c>
      <c r="E14" s="1169">
        <v>0</v>
      </c>
      <c r="F14" s="1169">
        <v>0</v>
      </c>
      <c r="G14" s="1170">
        <f t="shared" si="0"/>
        <v>1439536063.069</v>
      </c>
      <c r="H14" s="1160"/>
      <c r="I14" s="1011"/>
      <c r="J14" s="1011"/>
      <c r="K14" s="1011"/>
      <c r="L14" s="1011"/>
    </row>
    <row r="15" spans="1:12">
      <c r="A15" s="1164">
        <f t="shared" si="1"/>
        <v>6</v>
      </c>
      <c r="B15" s="1090" t="s">
        <v>580</v>
      </c>
      <c r="C15" s="1169">
        <v>1478804299.3889999</v>
      </c>
      <c r="D15" s="1169">
        <v>0</v>
      </c>
      <c r="E15" s="1169">
        <v>0</v>
      </c>
      <c r="F15" s="1169">
        <v>0</v>
      </c>
      <c r="G15" s="1170">
        <f t="shared" si="0"/>
        <v>1478804299.3889999</v>
      </c>
      <c r="H15" s="1160"/>
      <c r="I15" s="1011"/>
      <c r="J15" s="1011"/>
      <c r="K15" s="1011"/>
      <c r="L15" s="1011"/>
    </row>
    <row r="16" spans="1:12">
      <c r="A16" s="1164">
        <f t="shared" si="1"/>
        <v>7</v>
      </c>
      <c r="B16" s="1090" t="s">
        <v>581</v>
      </c>
      <c r="C16" s="1169">
        <v>1492343088.072</v>
      </c>
      <c r="D16" s="1169">
        <v>0</v>
      </c>
      <c r="E16" s="1169">
        <v>0</v>
      </c>
      <c r="F16" s="1169">
        <v>0</v>
      </c>
      <c r="G16" s="1170">
        <f t="shared" si="0"/>
        <v>1492343088.072</v>
      </c>
      <c r="H16" s="1160"/>
      <c r="I16" s="1011"/>
      <c r="J16" s="1011"/>
      <c r="K16" s="1011"/>
      <c r="L16" s="1011"/>
    </row>
    <row r="17" spans="1:12">
      <c r="A17" s="1164">
        <f t="shared" si="1"/>
        <v>8</v>
      </c>
      <c r="B17" s="1090" t="s">
        <v>582</v>
      </c>
      <c r="C17" s="1169">
        <v>1505581068.188</v>
      </c>
      <c r="D17" s="1169">
        <v>0</v>
      </c>
      <c r="E17" s="1169">
        <v>0</v>
      </c>
      <c r="F17" s="1169">
        <v>0</v>
      </c>
      <c r="G17" s="1170">
        <f t="shared" si="0"/>
        <v>1505581068.188</v>
      </c>
      <c r="H17" s="1160"/>
      <c r="I17" s="1011"/>
      <c r="J17" s="1011"/>
      <c r="K17" s="1011"/>
      <c r="L17" s="1011"/>
    </row>
    <row r="18" spans="1:12">
      <c r="A18" s="1164">
        <f t="shared" si="1"/>
        <v>9</v>
      </c>
      <c r="B18" s="1090" t="s">
        <v>717</v>
      </c>
      <c r="C18" s="1169">
        <v>1518945779.533</v>
      </c>
      <c r="D18" s="1169">
        <v>0</v>
      </c>
      <c r="E18" s="1169">
        <v>0</v>
      </c>
      <c r="F18" s="1169">
        <v>0</v>
      </c>
      <c r="G18" s="1170">
        <f t="shared" si="0"/>
        <v>1518945779.533</v>
      </c>
      <c r="H18" s="1160"/>
      <c r="I18" s="1011"/>
      <c r="J18" s="1011"/>
      <c r="K18" s="1011"/>
      <c r="L18" s="1011"/>
    </row>
    <row r="19" spans="1:12">
      <c r="A19" s="1164">
        <f t="shared" si="1"/>
        <v>10</v>
      </c>
      <c r="B19" s="1090" t="s">
        <v>584</v>
      </c>
      <c r="C19" s="1169">
        <v>1530714116.1359999</v>
      </c>
      <c r="D19" s="1169">
        <v>0</v>
      </c>
      <c r="E19" s="1169">
        <v>0</v>
      </c>
      <c r="F19" s="1169">
        <v>0</v>
      </c>
      <c r="G19" s="1170">
        <f t="shared" si="0"/>
        <v>1530714116.1359999</v>
      </c>
      <c r="H19" s="1160"/>
      <c r="I19" s="1011"/>
      <c r="J19" s="1011"/>
      <c r="K19" s="1011"/>
      <c r="L19" s="1011"/>
    </row>
    <row r="20" spans="1:12">
      <c r="A20" s="1164">
        <f t="shared" si="1"/>
        <v>11</v>
      </c>
      <c r="B20" s="1090" t="s">
        <v>585</v>
      </c>
      <c r="C20" s="1169">
        <v>1544178458.05</v>
      </c>
      <c r="D20" s="1169">
        <v>0</v>
      </c>
      <c r="E20" s="1169">
        <v>0</v>
      </c>
      <c r="F20" s="1169">
        <v>0</v>
      </c>
      <c r="G20" s="1170">
        <f t="shared" si="0"/>
        <v>1544178458.05</v>
      </c>
      <c r="H20" s="1160"/>
      <c r="I20" s="1011"/>
      <c r="J20" s="1011"/>
      <c r="K20" s="1011"/>
      <c r="L20" s="1011"/>
    </row>
    <row r="21" spans="1:12">
      <c r="A21" s="1164">
        <f t="shared" si="1"/>
        <v>12</v>
      </c>
      <c r="B21" s="1090" t="s">
        <v>586</v>
      </c>
      <c r="C21" s="1169">
        <v>1557454359.138</v>
      </c>
      <c r="D21" s="1169">
        <v>0</v>
      </c>
      <c r="E21" s="1169">
        <v>0</v>
      </c>
      <c r="F21" s="1169">
        <v>0</v>
      </c>
      <c r="G21" s="1170">
        <f t="shared" si="0"/>
        <v>1557454359.138</v>
      </c>
      <c r="H21" s="1160"/>
      <c r="I21" s="1011"/>
      <c r="J21" s="1011"/>
      <c r="K21" s="1011"/>
      <c r="L21" s="1011"/>
    </row>
    <row r="22" spans="1:12">
      <c r="A22" s="1171">
        <f t="shared" si="1"/>
        <v>13</v>
      </c>
      <c r="B22" s="1092" t="s">
        <v>718</v>
      </c>
      <c r="C22" s="1169">
        <v>1578614716.8640001</v>
      </c>
      <c r="D22" s="1169">
        <v>0</v>
      </c>
      <c r="E22" s="1169">
        <v>0</v>
      </c>
      <c r="F22" s="1169">
        <v>0</v>
      </c>
      <c r="G22" s="1170">
        <f t="shared" si="0"/>
        <v>1578614716.8640001</v>
      </c>
      <c r="H22" s="1160"/>
      <c r="I22" s="1011"/>
      <c r="J22" s="1011"/>
      <c r="K22" s="1011"/>
      <c r="L22" s="1011"/>
    </row>
    <row r="23" spans="1:12" ht="13.5" thickBot="1">
      <c r="A23" s="1171">
        <f t="shared" si="1"/>
        <v>14</v>
      </c>
      <c r="B23" s="1093" t="s">
        <v>719</v>
      </c>
      <c r="C23" s="1115">
        <f>SUM(C10:C22)/13</f>
        <v>1479027105.7840767</v>
      </c>
      <c r="D23" s="1094">
        <f>SUM(D10:D22)/13</f>
        <v>0</v>
      </c>
      <c r="E23" s="1094">
        <f>SUM(E10:E22)/13</f>
        <v>0</v>
      </c>
      <c r="F23" s="1094">
        <f>SUM(F10:F22)/13</f>
        <v>0</v>
      </c>
      <c r="G23" s="1172">
        <f>SUM(G10:G22)/13</f>
        <v>1479027105.7840767</v>
      </c>
      <c r="H23" s="1160"/>
      <c r="I23" s="1011"/>
      <c r="J23" s="1011"/>
      <c r="K23" s="1011"/>
      <c r="L23" s="1011"/>
    </row>
    <row r="24" spans="1:12" ht="13.5" thickTop="1">
      <c r="A24" s="1153"/>
      <c r="B24" s="1096"/>
      <c r="C24" s="1097"/>
      <c r="D24" s="1098"/>
      <c r="E24" s="1098"/>
      <c r="F24" s="1098"/>
      <c r="G24" s="1097"/>
      <c r="H24" s="1097"/>
      <c r="I24" s="1011"/>
      <c r="J24" s="1011"/>
      <c r="K24" s="1011"/>
      <c r="L24" s="1011"/>
    </row>
    <row r="25" spans="1:12" ht="12.75" customHeight="1">
      <c r="A25" s="1153"/>
      <c r="B25" s="1072"/>
      <c r="C25" s="1574" t="s">
        <v>542</v>
      </c>
      <c r="D25" s="1575"/>
      <c r="E25" s="1575"/>
      <c r="F25" s="1575"/>
      <c r="G25" s="1575"/>
      <c r="H25" s="1576"/>
      <c r="I25" s="1011"/>
      <c r="J25" s="1011"/>
      <c r="K25" s="1011"/>
      <c r="L25" s="1011"/>
    </row>
    <row r="26" spans="1:12" s="1163" customFormat="1" ht="38.25">
      <c r="A26" s="1161" t="s">
        <v>703</v>
      </c>
      <c r="B26" s="1077" t="s">
        <v>704</v>
      </c>
      <c r="C26" s="1107" t="s">
        <v>743</v>
      </c>
      <c r="D26" s="1078" t="s">
        <v>744</v>
      </c>
      <c r="E26" s="1078" t="s">
        <v>758</v>
      </c>
      <c r="F26" s="1078" t="s">
        <v>759</v>
      </c>
      <c r="G26" s="1078" t="s">
        <v>745</v>
      </c>
      <c r="H26" s="1162" t="s">
        <v>757</v>
      </c>
      <c r="I26" s="1011"/>
      <c r="J26" s="1011"/>
      <c r="K26" s="1011"/>
      <c r="L26" s="1011"/>
    </row>
    <row r="27" spans="1:12" s="1166" customFormat="1">
      <c r="A27" s="1164"/>
      <c r="B27" s="1082" t="s">
        <v>708</v>
      </c>
      <c r="C27" s="1108" t="s">
        <v>725</v>
      </c>
      <c r="D27" s="1083" t="s">
        <v>726</v>
      </c>
      <c r="E27" s="1083" t="s">
        <v>709</v>
      </c>
      <c r="F27" s="1083" t="s">
        <v>710</v>
      </c>
      <c r="G27" s="1083" t="s">
        <v>746</v>
      </c>
      <c r="H27" s="1165" t="s">
        <v>747</v>
      </c>
      <c r="I27" s="1011"/>
      <c r="J27" s="1011"/>
      <c r="K27" s="1011"/>
      <c r="L27" s="1011"/>
    </row>
    <row r="28" spans="1:12" s="1166" customFormat="1" ht="44.25" customHeight="1">
      <c r="A28" s="1164"/>
      <c r="B28" s="1082" t="s">
        <v>714</v>
      </c>
      <c r="C28" s="1167" t="s">
        <v>748</v>
      </c>
      <c r="D28" s="1086" t="s">
        <v>749</v>
      </c>
      <c r="E28" s="1086" t="s">
        <v>750</v>
      </c>
      <c r="F28" s="1086" t="s">
        <v>751</v>
      </c>
      <c r="G28" s="1086" t="s">
        <v>752</v>
      </c>
      <c r="H28" s="1173"/>
      <c r="I28" s="1011"/>
      <c r="J28" s="1011"/>
      <c r="K28" s="1011"/>
      <c r="L28" s="1011"/>
    </row>
    <row r="29" spans="1:12">
      <c r="A29" s="1164">
        <f>+A23+1</f>
        <v>15</v>
      </c>
      <c r="B29" s="1088" t="s">
        <v>715</v>
      </c>
      <c r="C29" s="1169">
        <v>0</v>
      </c>
      <c r="D29" s="1169">
        <v>0</v>
      </c>
      <c r="E29" s="1169">
        <v>1146950000</v>
      </c>
      <c r="F29" s="1169">
        <v>0</v>
      </c>
      <c r="G29" s="1169">
        <v>0</v>
      </c>
      <c r="H29" s="1170">
        <f>+C29-D29+E29+F29-G29</f>
        <v>1146950000</v>
      </c>
      <c r="I29" s="1011"/>
      <c r="J29" s="1011"/>
      <c r="K29" s="1011"/>
      <c r="L29" s="1011"/>
    </row>
    <row r="30" spans="1:12">
      <c r="A30" s="1164">
        <f>+A29+1</f>
        <v>16</v>
      </c>
      <c r="B30" s="1088" t="s">
        <v>576</v>
      </c>
      <c r="C30" s="1169">
        <v>0</v>
      </c>
      <c r="D30" s="1169">
        <v>0</v>
      </c>
      <c r="E30" s="1169">
        <v>1146950000</v>
      </c>
      <c r="F30" s="1169">
        <v>0</v>
      </c>
      <c r="G30" s="1169">
        <v>0</v>
      </c>
      <c r="H30" s="1170">
        <f t="shared" ref="H30:H41" si="2">+C30-D30+E30+F30-G30</f>
        <v>1146950000</v>
      </c>
      <c r="I30" s="1011"/>
      <c r="J30" s="1011"/>
      <c r="K30" s="1011"/>
      <c r="L30" s="1011"/>
    </row>
    <row r="31" spans="1:12">
      <c r="A31" s="1164">
        <f t="shared" ref="A31:A42" si="3">+A30+1</f>
        <v>17</v>
      </c>
      <c r="B31" s="1090" t="s">
        <v>577</v>
      </c>
      <c r="C31" s="1169">
        <v>0</v>
      </c>
      <c r="D31" s="1169">
        <v>0</v>
      </c>
      <c r="E31" s="1169">
        <v>1146950000</v>
      </c>
      <c r="F31" s="1169">
        <v>0</v>
      </c>
      <c r="G31" s="1169">
        <v>0</v>
      </c>
      <c r="H31" s="1170">
        <f t="shared" si="2"/>
        <v>1146950000</v>
      </c>
      <c r="I31" s="1011"/>
      <c r="J31" s="1011"/>
      <c r="K31" s="1011"/>
      <c r="L31" s="1011"/>
    </row>
    <row r="32" spans="1:12">
      <c r="A32" s="1164">
        <f t="shared" si="3"/>
        <v>18</v>
      </c>
      <c r="B32" s="1090" t="s">
        <v>716</v>
      </c>
      <c r="C32" s="1169">
        <v>0</v>
      </c>
      <c r="D32" s="1169">
        <v>0</v>
      </c>
      <c r="E32" s="1169">
        <v>1146950000</v>
      </c>
      <c r="F32" s="1169">
        <v>0</v>
      </c>
      <c r="G32" s="1169">
        <v>0</v>
      </c>
      <c r="H32" s="1170">
        <f t="shared" si="2"/>
        <v>1146950000</v>
      </c>
      <c r="I32" s="1011"/>
      <c r="J32" s="1011"/>
      <c r="K32" s="1011"/>
      <c r="L32" s="1011"/>
    </row>
    <row r="33" spans="1:12">
      <c r="A33" s="1164">
        <f t="shared" si="3"/>
        <v>19</v>
      </c>
      <c r="B33" s="1090" t="s">
        <v>579</v>
      </c>
      <c r="C33" s="1169">
        <v>0</v>
      </c>
      <c r="D33" s="1169">
        <v>0</v>
      </c>
      <c r="E33" s="1169">
        <v>1146950000</v>
      </c>
      <c r="F33" s="1169">
        <v>0</v>
      </c>
      <c r="G33" s="1169">
        <v>0</v>
      </c>
      <c r="H33" s="1170">
        <f t="shared" si="2"/>
        <v>1146950000</v>
      </c>
      <c r="I33" s="1011"/>
      <c r="J33" s="1011"/>
      <c r="K33" s="1011"/>
      <c r="L33" s="1011"/>
    </row>
    <row r="34" spans="1:12">
      <c r="A34" s="1164">
        <f t="shared" si="3"/>
        <v>20</v>
      </c>
      <c r="B34" s="1090" t="s">
        <v>580</v>
      </c>
      <c r="C34" s="1169">
        <v>0</v>
      </c>
      <c r="D34" s="1169">
        <v>0</v>
      </c>
      <c r="E34" s="1169">
        <v>1146950000</v>
      </c>
      <c r="F34" s="1169">
        <v>0</v>
      </c>
      <c r="G34" s="1169">
        <v>0</v>
      </c>
      <c r="H34" s="1170">
        <f>+C34-D34+E34+F34-G34</f>
        <v>1146950000</v>
      </c>
      <c r="I34" s="1011"/>
      <c r="J34" s="1011"/>
      <c r="K34" s="1011"/>
      <c r="L34" s="1011"/>
    </row>
    <row r="35" spans="1:12">
      <c r="A35" s="1164">
        <f t="shared" si="3"/>
        <v>21</v>
      </c>
      <c r="B35" s="1090" t="s">
        <v>581</v>
      </c>
      <c r="C35" s="1169">
        <v>0</v>
      </c>
      <c r="D35" s="1169">
        <v>0</v>
      </c>
      <c r="E35" s="1169">
        <v>1146950000</v>
      </c>
      <c r="F35" s="1169">
        <v>0</v>
      </c>
      <c r="G35" s="1169">
        <v>0</v>
      </c>
      <c r="H35" s="1170">
        <f t="shared" si="2"/>
        <v>1146950000</v>
      </c>
      <c r="I35" s="1011"/>
      <c r="J35" s="1011"/>
      <c r="K35" s="1011"/>
      <c r="L35" s="1011"/>
    </row>
    <row r="36" spans="1:12">
      <c r="A36" s="1164">
        <f t="shared" si="3"/>
        <v>22</v>
      </c>
      <c r="B36" s="1090" t="s">
        <v>582</v>
      </c>
      <c r="C36" s="1169">
        <v>0</v>
      </c>
      <c r="D36" s="1169">
        <v>0</v>
      </c>
      <c r="E36" s="1169">
        <v>1146950000</v>
      </c>
      <c r="F36" s="1169">
        <v>0</v>
      </c>
      <c r="G36" s="1169">
        <v>0</v>
      </c>
      <c r="H36" s="1170">
        <f t="shared" si="2"/>
        <v>1146950000</v>
      </c>
      <c r="I36" s="1011"/>
      <c r="J36" s="1011"/>
      <c r="K36" s="1011"/>
      <c r="L36" s="1011"/>
    </row>
    <row r="37" spans="1:12">
      <c r="A37" s="1164">
        <f t="shared" si="3"/>
        <v>23</v>
      </c>
      <c r="B37" s="1090" t="s">
        <v>717</v>
      </c>
      <c r="C37" s="1169">
        <v>0</v>
      </c>
      <c r="D37" s="1169">
        <v>0</v>
      </c>
      <c r="E37" s="1169">
        <v>1236950000</v>
      </c>
      <c r="F37" s="1169">
        <v>0</v>
      </c>
      <c r="G37" s="1169">
        <v>0</v>
      </c>
      <c r="H37" s="1170">
        <f t="shared" si="2"/>
        <v>1236950000</v>
      </c>
      <c r="I37" s="1011"/>
      <c r="J37" s="1011"/>
      <c r="K37" s="1011"/>
      <c r="L37" s="1011"/>
    </row>
    <row r="38" spans="1:12">
      <c r="A38" s="1164">
        <f t="shared" si="3"/>
        <v>24</v>
      </c>
      <c r="B38" s="1090" t="s">
        <v>584</v>
      </c>
      <c r="C38" s="1169">
        <v>0</v>
      </c>
      <c r="D38" s="1169">
        <v>0</v>
      </c>
      <c r="E38" s="1169">
        <v>1236950000</v>
      </c>
      <c r="F38" s="1169">
        <v>0</v>
      </c>
      <c r="G38" s="1169">
        <v>0</v>
      </c>
      <c r="H38" s="1170">
        <f t="shared" si="2"/>
        <v>1236950000</v>
      </c>
      <c r="I38" s="1011"/>
      <c r="J38" s="1011"/>
      <c r="K38" s="1011"/>
      <c r="L38" s="1011"/>
    </row>
    <row r="39" spans="1:12">
      <c r="A39" s="1164">
        <f t="shared" si="3"/>
        <v>25</v>
      </c>
      <c r="B39" s="1090" t="s">
        <v>585</v>
      </c>
      <c r="C39" s="1169">
        <v>0</v>
      </c>
      <c r="D39" s="1169">
        <v>0</v>
      </c>
      <c r="E39" s="1169">
        <v>1236950000</v>
      </c>
      <c r="F39" s="1169">
        <v>0</v>
      </c>
      <c r="G39" s="1169">
        <v>0</v>
      </c>
      <c r="H39" s="1170">
        <f t="shared" si="2"/>
        <v>1236950000</v>
      </c>
      <c r="I39" s="1011"/>
      <c r="J39" s="1011"/>
      <c r="K39" s="1011"/>
      <c r="L39" s="1011"/>
    </row>
    <row r="40" spans="1:12">
      <c r="A40" s="1164">
        <f t="shared" si="3"/>
        <v>26</v>
      </c>
      <c r="B40" s="1090" t="s">
        <v>586</v>
      </c>
      <c r="C40" s="1169">
        <v>0</v>
      </c>
      <c r="D40" s="1169">
        <v>0</v>
      </c>
      <c r="E40" s="1169">
        <v>1224250000</v>
      </c>
      <c r="F40" s="1169">
        <v>0</v>
      </c>
      <c r="G40" s="1169">
        <v>0</v>
      </c>
      <c r="H40" s="1170">
        <f t="shared" si="2"/>
        <v>1224250000</v>
      </c>
      <c r="I40" s="1011"/>
      <c r="J40" s="1011"/>
      <c r="K40" s="1011"/>
      <c r="L40" s="1011"/>
    </row>
    <row r="41" spans="1:12">
      <c r="A41" s="1171">
        <f t="shared" si="3"/>
        <v>27</v>
      </c>
      <c r="B41" s="1092" t="s">
        <v>718</v>
      </c>
      <c r="C41" s="1169">
        <v>0</v>
      </c>
      <c r="D41" s="1169">
        <v>0</v>
      </c>
      <c r="E41" s="1169">
        <v>1224250000</v>
      </c>
      <c r="F41" s="1169">
        <v>0</v>
      </c>
      <c r="G41" s="1169">
        <v>0</v>
      </c>
      <c r="H41" s="1170">
        <f t="shared" si="2"/>
        <v>1224250000</v>
      </c>
      <c r="I41" s="1011"/>
      <c r="J41" s="1011"/>
      <c r="K41" s="1011"/>
      <c r="L41" s="1011"/>
    </row>
    <row r="42" spans="1:12" ht="13.5" thickBot="1">
      <c r="A42" s="1175">
        <f t="shared" si="3"/>
        <v>28</v>
      </c>
      <c r="B42" s="1101" t="s">
        <v>719</v>
      </c>
      <c r="C42" s="1115">
        <f t="shared" ref="C42:H42" si="4">SUM(C29:C41)/13</f>
        <v>0</v>
      </c>
      <c r="D42" s="1094">
        <f t="shared" si="4"/>
        <v>0</v>
      </c>
      <c r="E42" s="1094">
        <f t="shared" si="4"/>
        <v>1179611538.4615386</v>
      </c>
      <c r="F42" s="1094">
        <f t="shared" si="4"/>
        <v>0</v>
      </c>
      <c r="G42" s="1094">
        <f t="shared" si="4"/>
        <v>0</v>
      </c>
      <c r="H42" s="1172">
        <f t="shared" si="4"/>
        <v>1179611538.4615386</v>
      </c>
      <c r="I42" s="1011"/>
      <c r="J42" s="1011"/>
      <c r="K42" s="1011"/>
      <c r="L42" s="1011"/>
    </row>
    <row r="43" spans="1:12" ht="13.5" thickTop="1">
      <c r="A43" s="1155"/>
      <c r="B43" s="1176"/>
      <c r="C43" s="1177"/>
      <c r="D43" s="1178"/>
      <c r="E43" s="1178"/>
      <c r="F43" s="1178"/>
      <c r="G43" s="1177"/>
      <c r="H43" s="1177"/>
      <c r="I43" s="1011"/>
      <c r="J43" s="1011"/>
      <c r="K43" s="1011"/>
      <c r="L43" s="1011"/>
    </row>
    <row r="44" spans="1:12" ht="12.75" customHeight="1">
      <c r="A44" s="1179" t="s">
        <v>753</v>
      </c>
      <c r="F44" s="1180"/>
      <c r="G44" s="1180"/>
      <c r="H44" s="1180"/>
      <c r="I44" s="1011"/>
      <c r="J44" s="1011"/>
      <c r="K44" s="1011"/>
    </row>
    <row r="45" spans="1:12">
      <c r="E45" s="1180"/>
      <c r="F45" s="1180"/>
      <c r="G45" s="1180"/>
      <c r="H45" s="1180"/>
      <c r="J45" s="1176"/>
    </row>
    <row r="46" spans="1:12" ht="15">
      <c r="A46" s="1182" t="s">
        <v>342</v>
      </c>
      <c r="E46" s="1180"/>
      <c r="F46" s="1180"/>
      <c r="G46" s="1180"/>
      <c r="H46" s="1153"/>
    </row>
    <row r="47" spans="1:12" ht="15">
      <c r="A47" s="1182"/>
      <c r="B47" s="1183" t="s">
        <v>708</v>
      </c>
      <c r="C47" s="1183" t="s">
        <v>725</v>
      </c>
      <c r="D47" s="1184" t="s">
        <v>726</v>
      </c>
      <c r="E47" s="1183" t="s">
        <v>709</v>
      </c>
      <c r="F47" s="1184" t="s">
        <v>710</v>
      </c>
      <c r="G47" s="1183" t="s">
        <v>746</v>
      </c>
      <c r="H47" s="1183" t="s">
        <v>754</v>
      </c>
    </row>
    <row r="48" spans="1:12">
      <c r="A48" s="715">
        <f>+A42+1</f>
        <v>29</v>
      </c>
      <c r="B48" s="1185" t="str">
        <f>"Annual Interest Expense for "&amp;TCOS!L4</f>
        <v>Annual Interest Expense for 2021</v>
      </c>
      <c r="C48" s="1186"/>
      <c r="D48" s="1187"/>
      <c r="E48" s="1188"/>
      <c r="F48" s="1188"/>
      <c r="G48" s="1188"/>
      <c r="H48" s="1188"/>
      <c r="I48" s="1188"/>
      <c r="J48" s="1188"/>
      <c r="K48" s="1188"/>
      <c r="L48" s="1188"/>
    </row>
    <row r="49" spans="1:12">
      <c r="A49" s="715">
        <f>+A48+1</f>
        <v>30</v>
      </c>
      <c r="B49" s="1261" t="s">
        <v>773</v>
      </c>
      <c r="C49" s="1186"/>
      <c r="D49" s="1187"/>
      <c r="E49" s="1190">
        <v>44171148.829999998</v>
      </c>
      <c r="F49" s="1188"/>
      <c r="G49" s="1188"/>
      <c r="H49" s="1188"/>
      <c r="I49" s="1188"/>
      <c r="J49" s="1188"/>
      <c r="K49" s="1188"/>
      <c r="L49" s="1188"/>
    </row>
    <row r="50" spans="1:12" ht="28.5" customHeight="1">
      <c r="A50" s="715">
        <f t="shared" ref="A50:A55" si="5">+A49+1</f>
        <v>31</v>
      </c>
      <c r="B50" s="1577" t="str">
        <f>"Less: Total Hedge Gain/Expense Accumulated from p 256-257, col. (i) of FERC Form 1  included in Ln "&amp;A49&amp;" and shown in "&amp;A68&amp;" below."</f>
        <v>Less: Total Hedge Gain/Expense Accumulated from p 256-257, col. (i) of FERC Form 1  included in Ln 30 and shown in 43 below.</v>
      </c>
      <c r="C50" s="1578"/>
      <c r="D50" s="1187"/>
      <c r="E50" s="1186">
        <f>+C68</f>
        <v>0</v>
      </c>
      <c r="F50" s="1188"/>
      <c r="G50" s="1188"/>
      <c r="H50" s="1188"/>
      <c r="I50" s="1188"/>
      <c r="J50" s="1188"/>
      <c r="K50" s="1188"/>
      <c r="L50" s="1188"/>
    </row>
    <row r="51" spans="1:12">
      <c r="A51" s="715">
        <f t="shared" si="5"/>
        <v>32</v>
      </c>
      <c r="B51" s="1261" t="s">
        <v>774</v>
      </c>
      <c r="C51" s="1262"/>
      <c r="D51" s="1191"/>
      <c r="E51" s="1190">
        <v>670478.57999999996</v>
      </c>
      <c r="F51" s="1188"/>
      <c r="G51" s="1188"/>
      <c r="H51" s="1188"/>
      <c r="I51" s="1188"/>
      <c r="J51" s="1188"/>
    </row>
    <row r="52" spans="1:12">
      <c r="A52" s="715">
        <f t="shared" si="5"/>
        <v>33</v>
      </c>
      <c r="B52" s="1261" t="s">
        <v>775</v>
      </c>
      <c r="C52" s="1192"/>
      <c r="D52" s="1187"/>
      <c r="E52" s="1190"/>
      <c r="F52" s="1188"/>
      <c r="G52" s="1188"/>
      <c r="H52" s="1188"/>
      <c r="I52" s="1188"/>
      <c r="J52" s="1188"/>
    </row>
    <row r="53" spans="1:12">
      <c r="A53" s="715">
        <f t="shared" si="5"/>
        <v>34</v>
      </c>
      <c r="B53" s="1261" t="s">
        <v>776</v>
      </c>
      <c r="C53" s="1192"/>
      <c r="D53" s="1187"/>
      <c r="E53" s="1190">
        <v>30859.68</v>
      </c>
      <c r="F53" s="1188"/>
      <c r="G53" s="1188"/>
      <c r="H53" s="1188"/>
      <c r="I53" s="1188"/>
      <c r="J53" s="1188"/>
    </row>
    <row r="54" spans="1:12" ht="13.5" thickBot="1">
      <c r="A54" s="715">
        <f t="shared" si="5"/>
        <v>35</v>
      </c>
      <c r="B54" s="1261" t="s">
        <v>777</v>
      </c>
      <c r="C54" s="1192"/>
      <c r="D54" s="1187"/>
      <c r="E54" s="1193"/>
      <c r="F54" s="1188"/>
      <c r="G54" s="1188"/>
      <c r="H54" s="1188"/>
      <c r="I54" s="1188"/>
      <c r="J54" s="1188"/>
    </row>
    <row r="55" spans="1:12">
      <c r="A55" s="715">
        <f t="shared" si="5"/>
        <v>36</v>
      </c>
      <c r="B55" s="1185" t="str">
        <f>"Total Interest Expense (Ln "&amp;A49&amp;" - "&amp;A50&amp;" + "&amp;A51&amp;" + "&amp;A52&amp;" - "&amp;A53&amp;" - "&amp;A54&amp;")"</f>
        <v>Total Interest Expense (Ln 30 - 31 + 32 + 33 - 34 - 35)</v>
      </c>
      <c r="C55" s="1194"/>
      <c r="D55" s="1195"/>
      <c r="E55" s="1196">
        <f>+E49-E50+E51+E52-E53-E54</f>
        <v>44810767.729999997</v>
      </c>
      <c r="F55" s="1188"/>
      <c r="G55" s="1188"/>
      <c r="H55" s="1188"/>
      <c r="I55" s="1188"/>
      <c r="J55" s="1188"/>
    </row>
    <row r="56" spans="1:12" ht="13.5" thickBot="1">
      <c r="A56" s="715"/>
      <c r="B56" s="1189"/>
      <c r="C56" s="1192"/>
      <c r="D56" s="1187"/>
      <c r="E56" s="1197"/>
      <c r="F56" s="1188"/>
      <c r="G56" s="1188"/>
      <c r="H56" s="1188"/>
      <c r="I56" s="1188"/>
      <c r="J56" s="1188"/>
    </row>
    <row r="57" spans="1:12" ht="13.5" thickBot="1">
      <c r="A57" s="715">
        <f>+A55+1</f>
        <v>37</v>
      </c>
      <c r="B57" s="1185" t="str">
        <f>"Average Cost of Debt for "&amp;TCOS!L4&amp;" (Ln "&amp;A55&amp;"/ ln "&amp;A42&amp;" (g))"</f>
        <v>Average Cost of Debt for 2021 (Ln 36/ ln 28 (g))</v>
      </c>
      <c r="C57" s="1194"/>
      <c r="D57" s="1187"/>
      <c r="E57" s="1198">
        <f>+E55/H42</f>
        <v>3.7987732629711862E-2</v>
      </c>
      <c r="F57" s="1188"/>
      <c r="G57" s="1188"/>
      <c r="H57" s="1188"/>
      <c r="I57" s="1188"/>
      <c r="J57" s="1188"/>
    </row>
    <row r="58" spans="1:12">
      <c r="A58" s="1199"/>
      <c r="B58" s="1189"/>
      <c r="C58" s="1192"/>
      <c r="D58" s="1187"/>
      <c r="E58" s="1192"/>
      <c r="F58" s="1188"/>
      <c r="G58" s="1188"/>
      <c r="H58" s="1188"/>
      <c r="I58" s="1188"/>
      <c r="J58" s="1188"/>
    </row>
    <row r="59" spans="1:12" ht="16.5" customHeight="1">
      <c r="A59" s="1200"/>
      <c r="B59" s="1579" t="s">
        <v>755</v>
      </c>
      <c r="C59" s="1579"/>
      <c r="D59" s="1579"/>
      <c r="E59" s="1579"/>
      <c r="F59" s="1201"/>
      <c r="G59" s="1188"/>
      <c r="H59" s="1188"/>
      <c r="I59" s="1188"/>
      <c r="J59" s="1188"/>
    </row>
    <row r="60" spans="1:12" ht="21" customHeight="1">
      <c r="A60" s="1202">
        <f>+A57+1</f>
        <v>38</v>
      </c>
      <c r="B60" s="1580" t="str">
        <f>""&amp;A4&amp;" may not include costs (or gains) related to interest hedging activities."</f>
        <v>AEP Indiana Michigan Transmission Company may not include costs (or gains) related to interest hedging activities.</v>
      </c>
      <c r="C60" s="1580"/>
      <c r="D60" s="1580"/>
      <c r="E60" s="1580"/>
      <c r="F60" s="1580"/>
      <c r="G60" s="1203"/>
      <c r="H60" s="1203"/>
      <c r="I60" s="1188"/>
      <c r="J60" s="1188"/>
    </row>
    <row r="61" spans="1:12">
      <c r="A61" s="1204"/>
      <c r="B61" s="1205"/>
      <c r="C61" s="1205"/>
      <c r="D61" s="1205"/>
      <c r="E61" s="1581" t="s">
        <v>229</v>
      </c>
      <c r="F61" s="1581"/>
      <c r="G61" s="1011"/>
      <c r="H61" s="1011"/>
      <c r="I61" s="1188"/>
      <c r="J61" s="1188"/>
    </row>
    <row r="62" spans="1:12" ht="38.25">
      <c r="A62" s="715"/>
      <c r="B62" s="1207" t="s">
        <v>230</v>
      </c>
      <c r="C62" s="1207" t="str">
        <f>"(Amortization of (Gain)/Loss for "&amp;TCOS!L4</f>
        <v>(Amortization of (Gain)/Loss for 2021</v>
      </c>
      <c r="D62" s="1206" t="s">
        <v>231</v>
      </c>
      <c r="E62" s="1206" t="s">
        <v>88</v>
      </c>
      <c r="F62" s="1206" t="s">
        <v>90</v>
      </c>
      <c r="G62" s="1011"/>
      <c r="H62" s="1011"/>
      <c r="I62" s="1188"/>
      <c r="J62" s="1188"/>
    </row>
    <row r="63" spans="1:12">
      <c r="A63" s="715">
        <f>+A60+1</f>
        <v>39</v>
      </c>
      <c r="B63" s="1208"/>
      <c r="C63" s="1174"/>
      <c r="D63" s="1208"/>
      <c r="E63" s="1208"/>
      <c r="F63" s="1209"/>
      <c r="G63" s="1011"/>
      <c r="H63" s="1011"/>
      <c r="I63" s="1191"/>
      <c r="J63" s="1191"/>
    </row>
    <row r="64" spans="1:12">
      <c r="A64" s="715">
        <f>+A63+1</f>
        <v>40</v>
      </c>
      <c r="B64" s="1208"/>
      <c r="C64" s="1174"/>
      <c r="D64" s="1208"/>
      <c r="E64" s="1208"/>
      <c r="F64" s="1209"/>
      <c r="G64" s="1210"/>
      <c r="H64" s="1210"/>
      <c r="I64" s="1188"/>
      <c r="J64" s="1188"/>
    </row>
    <row r="65" spans="1:10">
      <c r="A65" s="715">
        <f>+A64+1</f>
        <v>41</v>
      </c>
      <c r="B65" s="1208"/>
      <c r="C65" s="1174"/>
      <c r="D65" s="1211"/>
      <c r="E65" s="1211"/>
      <c r="F65" s="1209"/>
      <c r="G65" s="1210"/>
      <c r="H65" s="1210"/>
      <c r="I65" s="1188"/>
      <c r="J65" s="1188"/>
    </row>
    <row r="66" spans="1:10">
      <c r="A66" s="715">
        <f>+A65+1</f>
        <v>42</v>
      </c>
      <c r="B66" s="1208"/>
      <c r="C66" s="1174"/>
      <c r="D66" s="1211"/>
      <c r="E66" s="1211"/>
      <c r="F66" s="1212"/>
      <c r="G66" s="1213"/>
      <c r="H66" s="1214"/>
      <c r="I66" s="1188"/>
      <c r="J66" s="1188"/>
    </row>
    <row r="67" spans="1:10">
      <c r="A67" s="715"/>
      <c r="B67" s="1215"/>
      <c r="C67" s="1216"/>
      <c r="D67" s="1216"/>
      <c r="E67" s="1217"/>
      <c r="F67" s="1188"/>
      <c r="G67" s="1218"/>
      <c r="H67" s="1218"/>
    </row>
    <row r="68" spans="1:10">
      <c r="A68" s="715">
        <f>+A66+1</f>
        <v>43</v>
      </c>
      <c r="B68" s="1219" t="s">
        <v>255</v>
      </c>
      <c r="C68" s="1197">
        <f>SUM(C63:C67)</f>
        <v>0</v>
      </c>
      <c r="D68" s="1197">
        <f>SUM(D63:D67)</f>
        <v>0</v>
      </c>
      <c r="E68" s="1197">
        <f>SUM(E63:E67)</f>
        <v>0</v>
      </c>
      <c r="F68" s="1220">
        <f>SUM(F63:F67)</f>
        <v>0</v>
      </c>
      <c r="G68" s="1188"/>
      <c r="H68" s="1188"/>
    </row>
    <row r="69" spans="1:10">
      <c r="A69" s="715"/>
      <c r="B69" s="1189"/>
      <c r="C69" s="1197"/>
      <c r="D69" s="1197"/>
      <c r="E69" s="1197"/>
      <c r="F69" s="1188"/>
      <c r="G69" s="1188"/>
      <c r="H69" s="1188"/>
    </row>
    <row r="70" spans="1:10">
      <c r="A70" s="715"/>
      <c r="B70" s="1185"/>
      <c r="C70" s="1192"/>
      <c r="D70" s="1187"/>
      <c r="E70" s="1221"/>
      <c r="F70" s="1188"/>
      <c r="G70" s="1188"/>
      <c r="H70" s="1188"/>
    </row>
    <row r="71" spans="1:10">
      <c r="A71" s="715"/>
      <c r="B71" s="1185"/>
      <c r="C71" s="1192"/>
      <c r="D71" s="1187"/>
      <c r="E71" s="1221"/>
      <c r="F71" s="1188"/>
      <c r="G71" s="1188"/>
      <c r="H71" s="1188"/>
    </row>
    <row r="72" spans="1:10" ht="15">
      <c r="A72" s="1222" t="s">
        <v>347</v>
      </c>
      <c r="B72" s="1185"/>
      <c r="C72" s="1192"/>
      <c r="D72" s="1187"/>
      <c r="E72" s="1221"/>
      <c r="F72" s="1188"/>
      <c r="G72" s="1188"/>
      <c r="H72" s="1188"/>
    </row>
    <row r="73" spans="1:10">
      <c r="A73" s="715"/>
      <c r="B73" s="1185"/>
      <c r="C73" s="1192"/>
      <c r="D73" s="1187"/>
      <c r="E73" s="1221"/>
      <c r="F73" s="1188"/>
      <c r="G73" s="1188"/>
      <c r="H73" s="1188"/>
    </row>
    <row r="74" spans="1:10">
      <c r="A74" s="1223">
        <f>+A68+1</f>
        <v>44</v>
      </c>
      <c r="B74" s="1187" t="str">
        <f>"Balance of Preferred Stock (Line "&amp;A23&amp;" (c))"</f>
        <v>Balance of Preferred Stock (Line 14 (c))</v>
      </c>
      <c r="E74" s="1224">
        <f>+D23</f>
        <v>0</v>
      </c>
    </row>
    <row r="75" spans="1:10">
      <c r="A75" s="715">
        <f>+A74+1</f>
        <v>45</v>
      </c>
      <c r="B75" s="1187" t="s">
        <v>756</v>
      </c>
      <c r="E75" s="1212"/>
    </row>
    <row r="76" spans="1:10">
      <c r="A76" s="715">
        <f>+A75+1</f>
        <v>46</v>
      </c>
      <c r="B76" s="1225" t="str">
        <f>"Average Cost of Preferred Stock (Ln "&amp;A75&amp;" / ln "&amp;A74&amp;")"</f>
        <v>Average Cost of Preferred Stock (Ln 45 / ln 44)</v>
      </c>
      <c r="E76" s="1226"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0" t="s">
        <v>416</v>
      </c>
    </row>
    <row r="2" spans="1:21" ht="15.75">
      <c r="A2" s="1000" t="s">
        <v>416</v>
      </c>
    </row>
    <row r="3" spans="1:21" ht="18">
      <c r="A3" s="1555" t="str">
        <f>TCOS!$F$5</f>
        <v>AEPTCo subsidiaries in PJM</v>
      </c>
      <c r="B3" s="1555" t="str">
        <f>TCOS!$F$5</f>
        <v>AEPTCo subsidiaries in PJM</v>
      </c>
      <c r="C3" s="1555" t="str">
        <f>TCOS!$F$5</f>
        <v>AEPTCo subsidiaries in PJM</v>
      </c>
      <c r="D3" s="1555" t="str">
        <f>TCOS!$F$5</f>
        <v>AEPTCo subsidiaries in PJM</v>
      </c>
      <c r="E3" s="1555" t="str">
        <f>TCOS!$F$5</f>
        <v>AEPTCo subsidiaries in PJM</v>
      </c>
      <c r="F3" s="1555" t="str">
        <f>TCOS!$F$5</f>
        <v>AEPTCo subsidiaries in PJM</v>
      </c>
      <c r="G3" s="1555" t="str">
        <f>TCOS!$F$5</f>
        <v>AEPTCo subsidiaries in PJM</v>
      </c>
      <c r="H3" s="1555" t="str">
        <f>TCOS!$F$5</f>
        <v>AEPTCo subsidiaries in PJM</v>
      </c>
      <c r="I3" s="1555" t="str">
        <f>TCOS!$F$5</f>
        <v>AEPTCo subsidiaries in PJM</v>
      </c>
      <c r="J3" s="1555" t="str">
        <f>TCOS!$F$5</f>
        <v>AEPTCo subsidiaries in PJM</v>
      </c>
      <c r="K3" s="1555" t="str">
        <f>TCOS!$F$5</f>
        <v>AEPTCo subsidiaries in PJM</v>
      </c>
      <c r="L3" s="1555" t="str">
        <f>TCOS!$F$5</f>
        <v>AEPTCo subsidiaries in PJM</v>
      </c>
      <c r="M3" s="1555" t="str">
        <f>TCOS!$F$5</f>
        <v>AEPTCo subsidiaries in PJM</v>
      </c>
      <c r="N3" s="1555" t="str">
        <f>TCOS!$F$5</f>
        <v>AEPTCo subsidiaries in PJM</v>
      </c>
      <c r="O3" s="1555" t="str">
        <f>TCOS!$F$5</f>
        <v>AEPTCo subsidiaries in PJM</v>
      </c>
    </row>
    <row r="4" spans="1:21" ht="18">
      <c r="A4" s="1554" t="str">
        <f>"Cost of Service Formula Rate Using Actual/Projected FF1 Balances"</f>
        <v>Cost of Service Formula Rate Using Actual/Projected FF1 Balances</v>
      </c>
      <c r="B4" s="1554"/>
      <c r="C4" s="1554"/>
      <c r="D4" s="1554"/>
      <c r="E4" s="1554"/>
      <c r="F4" s="1554"/>
      <c r="G4" s="1554"/>
      <c r="H4" s="1554"/>
      <c r="I4" s="1554"/>
      <c r="J4" s="1554"/>
      <c r="K4" s="1554"/>
      <c r="L4" s="1554"/>
      <c r="M4" s="1554"/>
      <c r="N4" s="1554"/>
      <c r="O4" s="1554"/>
    </row>
    <row r="5" spans="1:21" ht="18">
      <c r="A5" s="1554" t="s">
        <v>26</v>
      </c>
      <c r="B5" s="1554"/>
      <c r="C5" s="1554"/>
      <c r="D5" s="1554"/>
      <c r="E5" s="1554"/>
      <c r="F5" s="1554"/>
      <c r="G5" s="1554"/>
      <c r="H5" s="1554"/>
      <c r="I5" s="1554"/>
      <c r="J5" s="1554"/>
      <c r="K5" s="1554"/>
      <c r="L5" s="1554"/>
      <c r="M5" s="1554"/>
      <c r="N5" s="1554"/>
      <c r="O5" s="1554"/>
    </row>
    <row r="6" spans="1:21" ht="18">
      <c r="A6" s="1546" t="str">
        <f>+TCOS!F9</f>
        <v>AEP Indiana Michigan Transmission Company</v>
      </c>
      <c r="B6" s="1546"/>
      <c r="C6" s="1546"/>
      <c r="D6" s="1546"/>
      <c r="E6" s="1546"/>
      <c r="F6" s="1546"/>
      <c r="G6" s="1546"/>
      <c r="H6" s="1546"/>
      <c r="I6" s="1546"/>
      <c r="J6" s="1546"/>
      <c r="K6" s="1546"/>
      <c r="L6" s="1546"/>
      <c r="M6" s="1546"/>
      <c r="N6" s="1546"/>
      <c r="O6" s="1546"/>
    </row>
    <row r="7" spans="1:21" ht="12.75" customHeight="1">
      <c r="A7" s="81"/>
      <c r="B7" s="81"/>
      <c r="C7" s="81"/>
      <c r="D7" s="81"/>
      <c r="E7" s="81"/>
      <c r="F7" s="81"/>
      <c r="G7" s="81"/>
      <c r="H7" s="81"/>
      <c r="I7" s="81"/>
      <c r="J7" s="81"/>
      <c r="K7" s="81"/>
      <c r="L7" s="81"/>
    </row>
    <row r="8" spans="1:21" ht="12.75" customHeight="1">
      <c r="A8" s="1584" t="s">
        <v>18</v>
      </c>
      <c r="B8" s="1584"/>
      <c r="C8" s="1584"/>
      <c r="D8" s="1584"/>
      <c r="E8" s="1584"/>
      <c r="F8" s="1584"/>
      <c r="G8" s="1584"/>
      <c r="H8" s="1584"/>
      <c r="I8" s="1584"/>
      <c r="J8" s="1584"/>
      <c r="K8" s="1584"/>
      <c r="L8" s="1584"/>
      <c r="M8" s="1584"/>
      <c r="N8" s="1584"/>
      <c r="O8" s="1584"/>
    </row>
    <row r="9" spans="1:21" ht="12.75" customHeight="1">
      <c r="A9" s="1584"/>
      <c r="B9" s="1584"/>
      <c r="C9" s="1584"/>
      <c r="D9" s="1584"/>
      <c r="E9" s="1584"/>
      <c r="F9" s="1584"/>
      <c r="G9" s="1584"/>
      <c r="H9" s="1584"/>
      <c r="I9" s="1584"/>
      <c r="J9" s="1584"/>
      <c r="K9" s="1584"/>
      <c r="L9" s="1584"/>
      <c r="M9" s="1584"/>
      <c r="N9" s="1584"/>
      <c r="O9" s="1584"/>
    </row>
    <row r="10" spans="1:21">
      <c r="A10" s="1584"/>
      <c r="B10" s="1584"/>
      <c r="C10" s="1584"/>
      <c r="D10" s="1584"/>
      <c r="E10" s="1584"/>
      <c r="F10" s="1584"/>
      <c r="G10" s="1584"/>
      <c r="H10" s="1584"/>
      <c r="I10" s="1584"/>
      <c r="J10" s="1584"/>
      <c r="K10" s="1584"/>
      <c r="L10" s="1584"/>
      <c r="M10" s="1584"/>
      <c r="N10" s="1584"/>
      <c r="O10" s="1584"/>
    </row>
    <row r="11" spans="1:21">
      <c r="A11" s="1584"/>
      <c r="B11" s="1584"/>
      <c r="C11" s="1584"/>
      <c r="D11" s="1584"/>
      <c r="E11" s="1584"/>
      <c r="F11" s="1584"/>
      <c r="G11" s="1584"/>
      <c r="H11" s="1584"/>
      <c r="I11" s="1584"/>
      <c r="J11" s="1584"/>
      <c r="K11" s="1584"/>
      <c r="L11" s="1584"/>
      <c r="M11" s="1584"/>
      <c r="N11" s="1584"/>
      <c r="O11" s="1584"/>
    </row>
    <row r="12" spans="1:21">
      <c r="B12" s="1" t="s">
        <v>462</v>
      </c>
      <c r="C12" s="1"/>
      <c r="D12" s="1553" t="s">
        <v>463</v>
      </c>
      <c r="E12" s="1553"/>
      <c r="F12" s="1553"/>
      <c r="G12" s="1553"/>
      <c r="H12" s="1"/>
      <c r="I12" s="1" t="s">
        <v>333</v>
      </c>
      <c r="J12" s="1"/>
      <c r="K12" s="1" t="s">
        <v>465</v>
      </c>
      <c r="L12" s="1"/>
      <c r="M12" s="1" t="s">
        <v>385</v>
      </c>
      <c r="N12" s="1"/>
      <c r="O12" s="1" t="s">
        <v>386</v>
      </c>
      <c r="P12" s="1"/>
      <c r="Q12" s="1" t="s">
        <v>359</v>
      </c>
      <c r="R12" s="1"/>
      <c r="S12" s="1" t="s">
        <v>392</v>
      </c>
      <c r="U12" s="56" t="s">
        <v>298</v>
      </c>
    </row>
    <row r="13" spans="1:21">
      <c r="I13" s="1582" t="s">
        <v>357</v>
      </c>
      <c r="Q13" s="1585" t="s">
        <v>358</v>
      </c>
      <c r="S13" s="1582" t="s">
        <v>360</v>
      </c>
      <c r="U13" s="139" t="s">
        <v>275</v>
      </c>
    </row>
    <row r="14" spans="1:21">
      <c r="A14" s="84" t="s">
        <v>356</v>
      </c>
      <c r="B14" s="84" t="s">
        <v>352</v>
      </c>
      <c r="C14" s="84"/>
      <c r="D14" s="102" t="s">
        <v>353</v>
      </c>
      <c r="E14" s="84"/>
      <c r="F14" s="84"/>
      <c r="G14" s="84"/>
      <c r="H14" s="84"/>
      <c r="I14" s="1583"/>
      <c r="J14" s="84"/>
      <c r="K14" s="84" t="s">
        <v>354</v>
      </c>
      <c r="L14" s="84"/>
      <c r="M14" s="84" t="s">
        <v>355</v>
      </c>
      <c r="N14" s="84"/>
      <c r="O14" s="84" t="s">
        <v>292</v>
      </c>
      <c r="Q14" s="1585"/>
      <c r="S14" s="1582"/>
      <c r="U14" s="139" t="s">
        <v>112</v>
      </c>
    </row>
    <row r="15" spans="1:21">
      <c r="A15" s="84"/>
      <c r="B15" s="84"/>
      <c r="C15" s="84"/>
      <c r="D15" s="102"/>
      <c r="E15" s="84"/>
      <c r="F15" s="84"/>
      <c r="G15" s="84"/>
      <c r="H15" s="84"/>
      <c r="I15" s="2" t="s">
        <v>290</v>
      </c>
      <c r="J15" s="84"/>
      <c r="K15" s="84"/>
      <c r="L15" s="84"/>
      <c r="M15" s="84"/>
      <c r="N15" s="84"/>
      <c r="O15" s="84"/>
      <c r="Q15" s="111"/>
      <c r="S15" s="84" t="s">
        <v>292</v>
      </c>
    </row>
    <row r="16" spans="1:21">
      <c r="I16" t="s">
        <v>291</v>
      </c>
    </row>
    <row r="17" spans="1:21">
      <c r="A17" s="1">
        <v>1</v>
      </c>
      <c r="B17" s="853"/>
      <c r="D17" s="1586"/>
      <c r="E17" s="1586"/>
      <c r="F17" s="1586"/>
      <c r="G17" s="1586"/>
      <c r="I17" s="854"/>
      <c r="K17" s="852"/>
      <c r="L17" s="75"/>
      <c r="M17" s="852"/>
      <c r="O17" s="88">
        <f>+K17-M17</f>
        <v>0</v>
      </c>
      <c r="Q17" s="104">
        <f>IF(I17="G",TCOS!L219,IF(I17="T",1,0))</f>
        <v>0</v>
      </c>
      <c r="S17" s="88">
        <f>ROUND(O17*Q17,0)</f>
        <v>0</v>
      </c>
      <c r="U17" s="855"/>
    </row>
    <row r="18" spans="1:21">
      <c r="A18" s="1"/>
      <c r="D18" s="1586"/>
      <c r="E18" s="1586"/>
      <c r="F18" s="1586"/>
      <c r="G18" s="1586"/>
      <c r="K18" s="75"/>
      <c r="L18" s="75"/>
      <c r="M18" s="75"/>
      <c r="O18" s="75"/>
      <c r="Q18" s="104"/>
      <c r="S18" s="75"/>
    </row>
    <row r="19" spans="1:21">
      <c r="A19" s="1"/>
      <c r="D19" s="1586"/>
      <c r="E19" s="1586"/>
      <c r="F19" s="1586"/>
      <c r="G19" s="1586"/>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3"/>
      <c r="D22" s="1586"/>
      <c r="E22" s="1586"/>
      <c r="F22" s="1586"/>
      <c r="G22" s="1586"/>
      <c r="I22" s="854"/>
      <c r="K22" s="852"/>
      <c r="L22" s="75"/>
      <c r="M22" s="852"/>
      <c r="O22" s="88">
        <f>+K22-M22</f>
        <v>0</v>
      </c>
      <c r="Q22" s="104">
        <f>IF(I22="G",TCOS!L219,IF(I22="T",1,0))</f>
        <v>0</v>
      </c>
      <c r="S22" s="88">
        <f>ROUND(O22*Q22,0)</f>
        <v>0</v>
      </c>
      <c r="U22" s="855"/>
    </row>
    <row r="23" spans="1:21">
      <c r="A23" s="1"/>
      <c r="D23" s="1586"/>
      <c r="E23" s="1586"/>
      <c r="F23" s="1586"/>
      <c r="G23" s="1586"/>
      <c r="K23" s="75"/>
      <c r="L23" s="75"/>
      <c r="M23" s="75"/>
      <c r="O23" s="75"/>
      <c r="Q23" s="104"/>
      <c r="S23" s="75"/>
    </row>
    <row r="24" spans="1:21">
      <c r="A24" s="1"/>
      <c r="D24" s="1586"/>
      <c r="E24" s="1586"/>
      <c r="F24" s="1586"/>
      <c r="G24" s="1586"/>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3"/>
      <c r="D27" s="1586"/>
      <c r="E27" s="1586"/>
      <c r="F27" s="1586"/>
      <c r="G27" s="1586"/>
      <c r="I27" s="854"/>
      <c r="K27" s="852"/>
      <c r="L27" s="75"/>
      <c r="M27" s="852"/>
      <c r="O27" s="88">
        <f>+K27-M27</f>
        <v>0</v>
      </c>
      <c r="Q27" s="104">
        <f>IF(I27="G",TCOS!L219,IF(I27="T",1,0))</f>
        <v>0</v>
      </c>
      <c r="S27" s="88">
        <f>ROUND(O27*Q27,0)</f>
        <v>0</v>
      </c>
      <c r="U27" s="855"/>
    </row>
    <row r="28" spans="1:21">
      <c r="A28" s="1"/>
      <c r="D28" s="1586"/>
      <c r="E28" s="1586"/>
      <c r="F28" s="1586"/>
      <c r="G28" s="1586"/>
      <c r="K28" s="75"/>
      <c r="L28" s="75"/>
      <c r="M28" s="75"/>
      <c r="O28" s="75"/>
      <c r="Q28" s="104"/>
      <c r="S28" s="75"/>
    </row>
    <row r="29" spans="1:21">
      <c r="A29" s="1"/>
      <c r="D29" s="1586"/>
      <c r="E29" s="1586"/>
      <c r="F29" s="1586"/>
      <c r="G29" s="1586"/>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14999847407452621"/>
  </sheetPr>
  <dimension ref="A1:F37"/>
  <sheetViews>
    <sheetView view="pageBreakPreview" zoomScale="90" zoomScaleNormal="80" zoomScaleSheetLayoutView="90" workbookViewId="0">
      <selection activeCell="D17" sqref="D17"/>
    </sheetView>
  </sheetViews>
  <sheetFormatPr defaultColWidth="11.42578125" defaultRowHeight="12.75"/>
  <cols>
    <col min="1" max="1" width="37.85546875" style="1265" customWidth="1"/>
    <col min="2" max="2" width="25.42578125" style="1265" customWidth="1"/>
    <col min="3" max="3" width="53.42578125" style="1265" customWidth="1"/>
    <col min="4" max="4" width="18.42578125" style="1265" customWidth="1"/>
    <col min="5" max="5" width="11.42578125" style="1265" customWidth="1"/>
    <col min="6" max="6" width="13.7109375" style="1265" bestFit="1" customWidth="1"/>
    <col min="7" max="16384" width="11.42578125" style="1265"/>
  </cols>
  <sheetData>
    <row r="1" spans="1:6" ht="15.75">
      <c r="A1" s="1264" t="s">
        <v>416</v>
      </c>
    </row>
    <row r="2" spans="1:6" ht="15.75">
      <c r="A2" s="1264" t="s">
        <v>416</v>
      </c>
    </row>
    <row r="3" spans="1:6" ht="15.75">
      <c r="A3" s="1588" t="str">
        <f>TCOS!F5</f>
        <v>AEPTCo subsidiaries in PJM</v>
      </c>
      <c r="B3" s="1588" t="s">
        <v>331</v>
      </c>
      <c r="C3" s="1588" t="s">
        <v>331</v>
      </c>
      <c r="D3" s="1588" t="s">
        <v>331</v>
      </c>
    </row>
    <row r="4" spans="1:6" ht="15.75">
      <c r="A4" s="1588" t="str">
        <f>"Cost of Service Formula Rate Using Actual/Projected FF1 Balances"</f>
        <v>Cost of Service Formula Rate Using Actual/Projected FF1 Balances</v>
      </c>
      <c r="B4" s="1588"/>
      <c r="C4" s="1588"/>
      <c r="D4" s="1588"/>
    </row>
    <row r="5" spans="1:6" ht="15.75">
      <c r="A5" s="1588" t="s">
        <v>780</v>
      </c>
      <c r="B5" s="1588"/>
      <c r="C5" s="1588"/>
      <c r="D5" s="1588"/>
    </row>
    <row r="6" spans="1:6" ht="15.75">
      <c r="A6" s="1588" t="s">
        <v>781</v>
      </c>
      <c r="B6" s="1588"/>
      <c r="C6" s="1588"/>
      <c r="D6" s="1588"/>
    </row>
    <row r="7" spans="1:6" ht="15.75">
      <c r="A7" s="1589" t="str">
        <f>TCOS!F9</f>
        <v>AEP Indiana Michigan Transmission Company</v>
      </c>
      <c r="B7" s="1589"/>
      <c r="C7" s="1589"/>
      <c r="D7" s="1589"/>
    </row>
    <row r="8" spans="1:6" ht="15.75">
      <c r="A8" s="1267"/>
      <c r="B8" s="1268"/>
      <c r="C8" s="1268"/>
      <c r="D8" s="1268"/>
    </row>
    <row r="9" spans="1:6" ht="15.75">
      <c r="A9" s="1269"/>
      <c r="B9" s="1270"/>
      <c r="C9" s="1270"/>
      <c r="D9" s="1270"/>
    </row>
    <row r="10" spans="1:6" ht="15.75">
      <c r="A10" s="1271"/>
      <c r="B10" s="1271"/>
      <c r="C10" s="1271"/>
      <c r="D10" s="1271"/>
    </row>
    <row r="11" spans="1:6" ht="15.75">
      <c r="A11" s="1272" t="s">
        <v>782</v>
      </c>
      <c r="B11" s="1270" t="s">
        <v>462</v>
      </c>
      <c r="C11" s="1273"/>
      <c r="D11" s="1270" t="s">
        <v>463</v>
      </c>
    </row>
    <row r="12" spans="1:6" ht="15.75">
      <c r="A12" s="1266">
        <f>1</f>
        <v>1</v>
      </c>
      <c r="B12" s="1274" t="s">
        <v>783</v>
      </c>
      <c r="C12" s="1275"/>
      <c r="D12" s="1266"/>
    </row>
    <row r="13" spans="1:6" ht="15.75">
      <c r="A13" s="1266"/>
      <c r="B13" s="1274"/>
      <c r="C13" s="1275"/>
      <c r="D13" s="1266"/>
    </row>
    <row r="14" spans="1:6" ht="15.75">
      <c r="A14" s="1266"/>
      <c r="B14" s="1276"/>
      <c r="C14" s="1276"/>
      <c r="D14" s="1276"/>
    </row>
    <row r="15" spans="1:6" ht="15.75">
      <c r="A15" s="1266">
        <f>A12+1</f>
        <v>2</v>
      </c>
      <c r="B15" s="1277" t="s">
        <v>784</v>
      </c>
      <c r="C15" s="1278"/>
      <c r="D15" s="1279"/>
    </row>
    <row r="16" spans="1:6" ht="15.75">
      <c r="A16" s="1266">
        <f t="shared" ref="A16:A23" si="0">+A15+1</f>
        <v>3</v>
      </c>
      <c r="B16" s="1280" t="s">
        <v>785</v>
      </c>
      <c r="C16" s="1280"/>
      <c r="D16" s="1281">
        <f>-123016960+758502</f>
        <v>-122258458</v>
      </c>
      <c r="F16" s="1282"/>
    </row>
    <row r="17" spans="1:6" ht="15.75">
      <c r="A17" s="1266">
        <f t="shared" si="0"/>
        <v>4</v>
      </c>
      <c r="B17" s="1280" t="s">
        <v>786</v>
      </c>
      <c r="C17" s="1280"/>
      <c r="D17" s="1283">
        <v>0</v>
      </c>
      <c r="F17" s="1282"/>
    </row>
    <row r="18" spans="1:6" ht="15.75">
      <c r="A18" s="1266">
        <f t="shared" si="0"/>
        <v>5</v>
      </c>
      <c r="B18" s="1280" t="s">
        <v>787</v>
      </c>
      <c r="C18" s="1280"/>
      <c r="D18" s="1284">
        <f>+D16-D17</f>
        <v>-122258458</v>
      </c>
    </row>
    <row r="19" spans="1:6" ht="15.75">
      <c r="A19" s="1266">
        <f t="shared" si="0"/>
        <v>6</v>
      </c>
      <c r="B19" s="1280" t="s">
        <v>788</v>
      </c>
      <c r="C19" s="1280"/>
      <c r="D19" s="1281">
        <v>1436776299.7499909</v>
      </c>
    </row>
    <row r="20" spans="1:6" ht="15.75">
      <c r="A20" s="1266">
        <f t="shared" si="0"/>
        <v>7</v>
      </c>
      <c r="B20" s="1280" t="s">
        <v>789</v>
      </c>
      <c r="C20" s="1280"/>
      <c r="D20" s="1285">
        <f>+D18/D19</f>
        <v>-8.5092201215508506E-2</v>
      </c>
    </row>
    <row r="21" spans="1:6" ht="15.75">
      <c r="A21" s="1266">
        <f t="shared" si="0"/>
        <v>8</v>
      </c>
      <c r="B21" s="1280" t="s">
        <v>790</v>
      </c>
      <c r="C21" s="1280"/>
      <c r="D21" s="1333">
        <v>-4.2999999999999997E-2</v>
      </c>
      <c r="E21" s="1286"/>
    </row>
    <row r="22" spans="1:6" ht="15.75">
      <c r="A22" s="1266">
        <f t="shared" si="0"/>
        <v>9</v>
      </c>
      <c r="B22" s="1280" t="s">
        <v>791</v>
      </c>
      <c r="C22" s="1280"/>
      <c r="D22" s="1287">
        <v>8685023.5352089219</v>
      </c>
    </row>
    <row r="23" spans="1:6" ht="15.75">
      <c r="A23" s="1266">
        <f t="shared" si="0"/>
        <v>10</v>
      </c>
      <c r="B23" s="1280" t="str">
        <f>"Allowable TransCo PBOP Expense for current year (Ln "&amp;A21&amp;" * Ln "&amp;A22&amp;")"</f>
        <v>Allowable TransCo PBOP Expense for current year (Ln 8 * Ln 9)</v>
      </c>
      <c r="C23" s="1280"/>
      <c r="D23" s="1288">
        <f>+D21*D22</f>
        <v>-373456.01201398362</v>
      </c>
    </row>
    <row r="24" spans="1:6" ht="15.75">
      <c r="A24" s="1266"/>
      <c r="B24" s="1280"/>
      <c r="C24" s="1280"/>
      <c r="D24" s="1288"/>
    </row>
    <row r="25" spans="1:6" ht="15.75">
      <c r="A25" s="1266"/>
      <c r="B25" s="1280"/>
      <c r="C25" s="1280"/>
      <c r="D25" s="1288"/>
    </row>
    <row r="26" spans="1:6" ht="15.75">
      <c r="A26" s="1266">
        <f>+A23+1</f>
        <v>11</v>
      </c>
      <c r="B26" s="1289" t="s">
        <v>792</v>
      </c>
      <c r="C26" s="1280"/>
      <c r="D26" s="1290">
        <v>0</v>
      </c>
    </row>
    <row r="27" spans="1:6" ht="15.75">
      <c r="A27" s="1266">
        <f>+A26+1</f>
        <v>12</v>
      </c>
      <c r="B27" s="1291" t="s">
        <v>793</v>
      </c>
      <c r="C27" s="1280"/>
      <c r="D27" s="1290">
        <v>0</v>
      </c>
    </row>
    <row r="28" spans="1:6" ht="15.75">
      <c r="A28" s="1266">
        <f>+A27+1</f>
        <v>13</v>
      </c>
      <c r="B28" s="1291" t="s">
        <v>794</v>
      </c>
      <c r="C28" s="1280"/>
      <c r="D28" s="1290">
        <v>0</v>
      </c>
    </row>
    <row r="29" spans="1:6" ht="16.5" thickBot="1">
      <c r="A29" s="1292">
        <f>+A28+1</f>
        <v>14</v>
      </c>
      <c r="B29" s="1293" t="s">
        <v>795</v>
      </c>
      <c r="C29" s="1294"/>
      <c r="D29" s="1295">
        <v>-1239841.6522980584</v>
      </c>
    </row>
    <row r="30" spans="1:6" ht="15.75">
      <c r="A30" s="1266">
        <f>+A29+1</f>
        <v>15</v>
      </c>
      <c r="B30" s="1276" t="s">
        <v>796</v>
      </c>
      <c r="C30" s="1276" t="str">
        <f>"(Sum Lines "&amp;A26&amp;"-"&amp;A29&amp;")"</f>
        <v>(Sum Lines 11-14)</v>
      </c>
      <c r="D30" s="1296">
        <f>SUM(D26:D29)</f>
        <v>-1239841.6522980584</v>
      </c>
    </row>
    <row r="31" spans="1:6" ht="15.75">
      <c r="A31" s="1266"/>
      <c r="B31" s="1276"/>
      <c r="C31" s="1276"/>
      <c r="D31" s="1296"/>
    </row>
    <row r="32" spans="1:6" ht="15.75">
      <c r="A32" s="1266"/>
      <c r="B32" s="1276"/>
      <c r="C32" s="1276"/>
      <c r="D32" s="1296"/>
    </row>
    <row r="33" spans="1:4" s="1298" customFormat="1" ht="15.75">
      <c r="A33" s="1266">
        <f>A30+1</f>
        <v>16</v>
      </c>
      <c r="B33" s="1276" t="s">
        <v>797</v>
      </c>
      <c r="C33" s="1276" t="str">
        <f>"Line "&amp;A23&amp;" less Line "&amp;A30&amp;""</f>
        <v>Line 10 less Line 15</v>
      </c>
      <c r="D33" s="1297">
        <f>D23-D30</f>
        <v>866385.6402840747</v>
      </c>
    </row>
    <row r="34" spans="1:4" s="1298" customFormat="1" ht="15.75">
      <c r="A34" s="1266"/>
      <c r="B34" s="1276"/>
      <c r="C34" s="1276"/>
      <c r="D34" s="1297"/>
    </row>
    <row r="35" spans="1:4" ht="15.75">
      <c r="A35" s="1291" t="s">
        <v>798</v>
      </c>
    </row>
    <row r="37" spans="1:4" ht="387.75" customHeight="1">
      <c r="A37" s="1587" t="s">
        <v>799</v>
      </c>
      <c r="B37" s="1587"/>
      <c r="C37" s="1587"/>
      <c r="D37" s="1587"/>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21">
    <pageSetUpPr fitToPage="1"/>
  </sheetPr>
  <dimension ref="A1:G37"/>
  <sheetViews>
    <sheetView defaultGridColor="0" view="pageBreakPreview" colorId="22" zoomScale="60" zoomScaleNormal="70" workbookViewId="0">
      <selection activeCell="B28" sqref="B28:D33"/>
    </sheetView>
  </sheetViews>
  <sheetFormatPr defaultColWidth="14.7109375" defaultRowHeight="15"/>
  <cols>
    <col min="1" max="1" width="5.7109375" style="857" customWidth="1"/>
    <col min="2" max="2" width="42.5703125" style="857" customWidth="1"/>
    <col min="3" max="3" width="17.28515625" style="857" bestFit="1" customWidth="1"/>
    <col min="4" max="4" width="16.85546875" style="857" customWidth="1"/>
    <col min="5" max="5" width="18" style="857" customWidth="1"/>
    <col min="6" max="7" width="16.28515625" style="857" bestFit="1" customWidth="1"/>
    <col min="8" max="8" width="14.7109375" style="857" customWidth="1"/>
    <col min="9" max="16384" width="14.7109375" style="857"/>
  </cols>
  <sheetData>
    <row r="1" spans="1:7" ht="15.75">
      <c r="A1" s="1000" t="s">
        <v>416</v>
      </c>
    </row>
    <row r="2" spans="1:7" ht="15.75">
      <c r="A2" s="1000" t="s">
        <v>416</v>
      </c>
    </row>
    <row r="3" spans="1:7" ht="19.5">
      <c r="A3" s="857" t="s">
        <v>416</v>
      </c>
      <c r="B3" s="1592" t="str">
        <f>TCOS!$F$5</f>
        <v>AEPTCo subsidiaries in PJM</v>
      </c>
      <c r="C3" s="1592"/>
      <c r="D3" s="1592"/>
      <c r="E3" s="1592"/>
      <c r="F3" s="856"/>
      <c r="G3" s="856"/>
    </row>
    <row r="4" spans="1:7" ht="19.5">
      <c r="B4" s="1592" t="s">
        <v>226</v>
      </c>
      <c r="C4" s="1592"/>
      <c r="D4" s="1592"/>
      <c r="E4" s="1592"/>
      <c r="F4" s="856"/>
      <c r="G4" s="856"/>
    </row>
    <row r="5" spans="1:7" ht="19.5">
      <c r="B5" s="1592" t="s">
        <v>227</v>
      </c>
      <c r="C5" s="1592"/>
      <c r="D5" s="1592"/>
      <c r="E5" s="1592"/>
      <c r="F5" s="856"/>
      <c r="G5" s="856"/>
    </row>
    <row r="6" spans="1:7" ht="19.5">
      <c r="B6" s="1592" t="s">
        <v>228</v>
      </c>
      <c r="C6" s="1592"/>
      <c r="D6" s="1592"/>
      <c r="E6" s="1592"/>
      <c r="F6" s="856"/>
      <c r="G6" s="856"/>
    </row>
    <row r="7" spans="1:7" ht="19.5">
      <c r="B7" s="1593" t="s">
        <v>829</v>
      </c>
      <c r="C7" s="1593"/>
      <c r="D7" s="1593"/>
      <c r="E7" s="1593"/>
      <c r="F7" s="856"/>
      <c r="G7" s="856"/>
    </row>
    <row r="8" spans="1:7" ht="19.5">
      <c r="B8" s="1592"/>
      <c r="C8" s="1592"/>
      <c r="D8" s="1592"/>
      <c r="E8" s="1592"/>
      <c r="F8" s="856"/>
      <c r="G8" s="856"/>
    </row>
    <row r="9" spans="1:7" ht="19.5">
      <c r="B9" s="1594" t="str">
        <f>TCOS!F9</f>
        <v>AEP Indiana Michigan Transmission Company</v>
      </c>
      <c r="C9" s="1499"/>
      <c r="D9" s="1499"/>
      <c r="E9" s="1499"/>
      <c r="F9" s="856"/>
      <c r="G9" s="856"/>
    </row>
    <row r="11" spans="1:7">
      <c r="B11" s="858"/>
      <c r="C11" s="858"/>
      <c r="D11" s="859"/>
    </row>
    <row r="12" spans="1:7" ht="15" customHeight="1">
      <c r="B12" s="858"/>
      <c r="C12" s="858"/>
      <c r="D12" s="859"/>
    </row>
    <row r="13" spans="1:7" ht="15.75">
      <c r="B13" s="858"/>
      <c r="C13" s="860" t="s">
        <v>35</v>
      </c>
      <c r="D13" s="860" t="s">
        <v>37</v>
      </c>
    </row>
    <row r="14" spans="1:7" ht="16.5" thickBot="1">
      <c r="B14" s="859"/>
      <c r="C14" s="860" t="s">
        <v>36</v>
      </c>
      <c r="D14" s="861" t="s">
        <v>297</v>
      </c>
    </row>
    <row r="15" spans="1:7">
      <c r="B15" s="862" t="s">
        <v>38</v>
      </c>
      <c r="C15" s="863"/>
      <c r="D15" s="131"/>
    </row>
    <row r="16" spans="1:7">
      <c r="B16" s="864"/>
      <c r="C16" s="865"/>
      <c r="D16" s="132"/>
    </row>
    <row r="17" spans="2:5">
      <c r="B17" s="866" t="s">
        <v>56</v>
      </c>
      <c r="C17" s="153">
        <v>350.1</v>
      </c>
      <c r="D17" s="140">
        <v>1.4800000000000001E-2</v>
      </c>
      <c r="E17" s="867"/>
    </row>
    <row r="18" spans="2:5">
      <c r="B18" s="868" t="s">
        <v>39</v>
      </c>
      <c r="C18" s="153">
        <v>352</v>
      </c>
      <c r="D18" s="140">
        <v>1.55E-2</v>
      </c>
      <c r="E18" s="140"/>
    </row>
    <row r="19" spans="2:5">
      <c r="B19" s="868" t="s">
        <v>40</v>
      </c>
      <c r="C19" s="153">
        <v>353</v>
      </c>
      <c r="D19" s="140">
        <v>1.8599999999999998E-2</v>
      </c>
      <c r="E19" s="867"/>
    </row>
    <row r="20" spans="2:5">
      <c r="B20" s="868" t="s">
        <v>41</v>
      </c>
      <c r="C20" s="153">
        <v>354</v>
      </c>
      <c r="D20" s="140">
        <v>1.6899999999999998E-2</v>
      </c>
      <c r="E20" s="867"/>
    </row>
    <row r="21" spans="2:5">
      <c r="B21" s="868" t="s">
        <v>42</v>
      </c>
      <c r="C21" s="153">
        <v>355</v>
      </c>
      <c r="D21" s="140">
        <v>2.8500000000000001E-2</v>
      </c>
      <c r="E21" s="140"/>
    </row>
    <row r="22" spans="2:5">
      <c r="B22" s="868" t="s">
        <v>43</v>
      </c>
      <c r="C22" s="153">
        <v>356</v>
      </c>
      <c r="D22" s="140">
        <v>1.9699999999999999E-2</v>
      </c>
      <c r="E22" s="869"/>
    </row>
    <row r="23" spans="2:5">
      <c r="B23" s="868" t="s">
        <v>44</v>
      </c>
      <c r="C23" s="153">
        <v>357</v>
      </c>
      <c r="D23" s="140">
        <v>1.8599999999999998E-2</v>
      </c>
      <c r="E23" s="867"/>
    </row>
    <row r="24" spans="2:5">
      <c r="B24" s="868" t="s">
        <v>45</v>
      </c>
      <c r="C24" s="153">
        <v>358</v>
      </c>
      <c r="D24" s="140">
        <v>1.7000000000000001E-2</v>
      </c>
      <c r="E24" s="867"/>
    </row>
    <row r="25" spans="2:5">
      <c r="B25" s="867"/>
      <c r="C25" s="867"/>
      <c r="D25" s="867"/>
      <c r="E25" s="867"/>
    </row>
    <row r="26" spans="2:5" ht="64.900000000000006" customHeight="1">
      <c r="B26" s="1595" t="s">
        <v>830</v>
      </c>
      <c r="C26" s="1596"/>
      <c r="D26" s="1596"/>
      <c r="E26" s="1596"/>
    </row>
    <row r="27" spans="2:5">
      <c r="B27" s="870"/>
      <c r="C27" s="871"/>
      <c r="D27" s="871"/>
      <c r="E27" s="871"/>
    </row>
    <row r="28" spans="2:5" ht="15.75">
      <c r="B28" s="1316" t="s">
        <v>74</v>
      </c>
      <c r="C28" s="1317" t="s">
        <v>832</v>
      </c>
      <c r="D28" s="1318" t="s">
        <v>547</v>
      </c>
      <c r="E28" s="872"/>
    </row>
    <row r="29" spans="2:5">
      <c r="B29" s="873" t="s">
        <v>546</v>
      </c>
      <c r="C29" s="874">
        <v>1153823876</v>
      </c>
      <c r="D29" s="1319">
        <f>C29</f>
        <v>1153823876</v>
      </c>
      <c r="E29" s="875"/>
    </row>
    <row r="30" spans="2:5">
      <c r="B30" s="873" t="s">
        <v>545</v>
      </c>
      <c r="C30" s="874">
        <v>1115559969</v>
      </c>
      <c r="D30" s="1319">
        <f>C30</f>
        <v>1115559969</v>
      </c>
      <c r="E30" s="875"/>
    </row>
    <row r="31" spans="2:5">
      <c r="B31" s="873" t="s">
        <v>232</v>
      </c>
      <c r="C31" s="874">
        <f>AVERAGE(C29:C30)</f>
        <v>1134691922.5</v>
      </c>
      <c r="D31" s="1319">
        <f>C31</f>
        <v>1134691922.5</v>
      </c>
      <c r="E31" s="875"/>
    </row>
    <row r="32" spans="2:5">
      <c r="B32" s="876" t="s">
        <v>548</v>
      </c>
      <c r="C32" s="1320">
        <v>16178988</v>
      </c>
      <c r="D32" s="1319">
        <f>C32</f>
        <v>16178988</v>
      </c>
      <c r="E32" s="875"/>
    </row>
    <row r="33" spans="2:5" ht="15.75">
      <c r="B33" s="1321" t="s">
        <v>46</v>
      </c>
      <c r="C33" s="1322" t="s">
        <v>416</v>
      </c>
      <c r="D33" s="1323">
        <f>D32/D31</f>
        <v>1.4258485214518658E-2</v>
      </c>
      <c r="E33" s="877"/>
    </row>
    <row r="34" spans="2:5">
      <c r="B34" s="878"/>
      <c r="C34" s="879"/>
      <c r="D34" s="878"/>
      <c r="E34" s="878"/>
    </row>
    <row r="35" spans="2:5">
      <c r="B35" s="1590" t="s">
        <v>831</v>
      </c>
      <c r="C35" s="1591"/>
      <c r="D35" s="1591"/>
      <c r="E35" s="1591"/>
    </row>
    <row r="36" spans="2:5">
      <c r="B36" s="1591"/>
      <c r="C36" s="1591"/>
      <c r="D36" s="1591"/>
      <c r="E36" s="1591"/>
    </row>
    <row r="37" spans="2:5" ht="91.9" customHeight="1">
      <c r="B37" s="1591"/>
      <c r="C37" s="1591"/>
      <c r="D37" s="1591"/>
      <c r="E37" s="1591"/>
    </row>
  </sheetData>
  <mergeCells count="9">
    <mergeCell ref="B35:E37"/>
    <mergeCell ref="B3:E3"/>
    <mergeCell ref="B4:E4"/>
    <mergeCell ref="B5:E5"/>
    <mergeCell ref="B6:E6"/>
    <mergeCell ref="B7:E7"/>
    <mergeCell ref="B8:E8"/>
    <mergeCell ref="B9:E9"/>
    <mergeCell ref="B26:E26"/>
  </mergeCells>
  <phoneticPr fontId="4" type="noConversion"/>
  <conditionalFormatting sqref="B38:E65536 F4:G9 H3:IV10 B3:B9 C4:E8 B11:IV11 F12:IV65536">
    <cfRule type="cellIs" dxfId="3" priority="4" stopIfTrue="1" operator="lessThan">
      <formula>0</formula>
    </cfRule>
  </conditionalFormatting>
  <conditionalFormatting sqref="B12:C23 D34 B26:B27 B24:D24 B34:B35 D12:D13 E12:E25 E28:E33 D15:D23">
    <cfRule type="cellIs" dxfId="2" priority="3" stopIfTrue="1" operator="lessThan">
      <formula>0</formula>
    </cfRule>
  </conditionalFormatting>
  <conditionalFormatting sqref="B28:B32">
    <cfRule type="cellIs" dxfId="1" priority="2" stopIfTrue="1" operator="lessThan">
      <formula>0</formula>
    </cfRule>
  </conditionalFormatting>
  <conditionalFormatting sqref="C28:D33">
    <cfRule type="cellIs" dxfId="0" priority="1" stopIfTrue="1" operator="lessThan">
      <formula>0</formula>
    </cfRule>
  </conditionalFormatting>
  <pageMargins left="0.55000000000000004" right="0.55000000000000004" top="1.25" bottom="0.75" header="0.75" footer="0.27"/>
  <pageSetup scale="76"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80" customWidth="1"/>
    <col min="2" max="2" width="68.140625" style="880" customWidth="1"/>
    <col min="3" max="3" width="18.140625" style="880" customWidth="1"/>
    <col min="4" max="4" width="2.140625" style="880" customWidth="1"/>
    <col min="5" max="5" width="17.28515625" style="880" customWidth="1"/>
    <col min="6" max="6" width="16.28515625" style="880" customWidth="1"/>
    <col min="7" max="7" width="14.5703125" style="880" customWidth="1"/>
    <col min="8" max="8" width="17.5703125" style="880" customWidth="1"/>
    <col min="9" max="9" width="14.42578125" style="880" customWidth="1"/>
    <col min="10" max="10" width="15.7109375" style="880" customWidth="1"/>
    <col min="11" max="16384" width="9.140625" style="880"/>
  </cols>
  <sheetData>
    <row r="1" spans="1:10" ht="15.75">
      <c r="A1" s="1000" t="s">
        <v>416</v>
      </c>
    </row>
    <row r="2" spans="1:10" ht="15.75">
      <c r="A2" s="1000" t="s">
        <v>416</v>
      </c>
    </row>
    <row r="3" spans="1:10">
      <c r="A3" s="1598" t="s">
        <v>515</v>
      </c>
      <c r="B3" s="1598"/>
      <c r="C3" s="1598"/>
      <c r="D3" s="1598"/>
      <c r="E3" s="1598"/>
      <c r="F3" s="1598"/>
      <c r="G3" s="1598"/>
      <c r="H3" s="1598"/>
      <c r="I3" s="1598"/>
      <c r="J3" s="1598"/>
    </row>
    <row r="4" spans="1:10">
      <c r="A4" s="1598" t="str">
        <f>"Consolidation of Operating Companies' Capital Structure @ December 31, "&amp;TCOS!L4&amp;""</f>
        <v>Consolidation of Operating Companies' Capital Structure @ December 31, 2021</v>
      </c>
      <c r="B4" s="1598"/>
      <c r="C4" s="1598"/>
      <c r="D4" s="1598"/>
      <c r="E4" s="1598"/>
      <c r="F4" s="1598"/>
      <c r="G4" s="1598"/>
      <c r="H4" s="1598"/>
      <c r="I4" s="1598"/>
      <c r="J4" s="1598"/>
    </row>
    <row r="5" spans="1:10">
      <c r="A5" s="1598" t="s">
        <v>258</v>
      </c>
      <c r="B5" s="1598"/>
      <c r="C5" s="1598"/>
      <c r="D5" s="1598"/>
      <c r="E5" s="1598"/>
      <c r="F5" s="1598"/>
      <c r="G5" s="1598"/>
      <c r="H5" s="1598"/>
      <c r="I5" s="1598"/>
      <c r="J5" s="1598"/>
    </row>
    <row r="7" spans="1:10" ht="76.5">
      <c r="A7" s="880" t="s">
        <v>469</v>
      </c>
      <c r="C7" s="881" t="s">
        <v>516</v>
      </c>
      <c r="D7" s="881"/>
      <c r="E7" s="881" t="s">
        <v>517</v>
      </c>
      <c r="F7" s="881" t="s">
        <v>518</v>
      </c>
      <c r="G7" s="881" t="s">
        <v>519</v>
      </c>
      <c r="H7" s="881" t="s">
        <v>520</v>
      </c>
      <c r="I7" s="881" t="s">
        <v>521</v>
      </c>
      <c r="J7" s="881" t="s">
        <v>522</v>
      </c>
    </row>
    <row r="8" spans="1:10" ht="15">
      <c r="A8" s="842" t="s">
        <v>523</v>
      </c>
    </row>
    <row r="9" spans="1:10">
      <c r="A9" s="880">
        <v>1</v>
      </c>
      <c r="B9" s="846" t="s">
        <v>348</v>
      </c>
      <c r="C9" s="849"/>
      <c r="D9" s="849"/>
      <c r="E9" s="849"/>
      <c r="F9" s="849"/>
      <c r="G9" s="849"/>
      <c r="H9" s="849"/>
      <c r="I9" s="849"/>
      <c r="J9" s="829">
        <f>SUM(C9:I9)</f>
        <v>0</v>
      </c>
    </row>
    <row r="10" spans="1:10">
      <c r="A10" s="880">
        <f>A9+1</f>
        <v>2</v>
      </c>
      <c r="B10" s="846" t="s">
        <v>349</v>
      </c>
      <c r="C10" s="849"/>
      <c r="D10" s="849"/>
      <c r="E10" s="849"/>
      <c r="F10" s="849"/>
      <c r="G10" s="849"/>
      <c r="H10" s="849"/>
      <c r="I10" s="849"/>
      <c r="J10" s="829">
        <f>SUM(C10:I10)</f>
        <v>0</v>
      </c>
    </row>
    <row r="11" spans="1:10">
      <c r="A11" s="880">
        <f>A10+1</f>
        <v>3</v>
      </c>
      <c r="B11" s="847" t="s">
        <v>25</v>
      </c>
      <c r="C11" s="849"/>
      <c r="D11" s="849"/>
      <c r="E11" s="849"/>
      <c r="F11" s="849"/>
      <c r="G11" s="849"/>
      <c r="H11" s="849"/>
      <c r="I11" s="849"/>
      <c r="J11" s="829">
        <f>SUM(C11:I11)</f>
        <v>0</v>
      </c>
    </row>
    <row r="12" spans="1:10">
      <c r="A12" s="880">
        <f>A11+1</f>
        <v>4</v>
      </c>
      <c r="B12" s="847" t="s">
        <v>19</v>
      </c>
      <c r="C12" s="849"/>
      <c r="D12" s="849"/>
      <c r="E12" s="849"/>
      <c r="F12" s="849"/>
      <c r="G12" s="849"/>
      <c r="H12" s="849"/>
      <c r="I12" s="849"/>
      <c r="J12" s="829">
        <f>SUM(C12:I12)</f>
        <v>0</v>
      </c>
    </row>
    <row r="13" spans="1:10">
      <c r="A13" s="880">
        <f>A12+1</f>
        <v>5</v>
      </c>
      <c r="B13" s="847" t="str">
        <f>"Less: Fair Value Hedges (See Note on Ln "&amp;A16&amp;" below)"</f>
        <v>Less: Fair Value Hedges (See Note on Ln 7 below)</v>
      </c>
      <c r="C13" s="147"/>
      <c r="D13" s="147"/>
      <c r="E13" s="147"/>
      <c r="F13" s="147"/>
      <c r="G13" s="147"/>
      <c r="H13" s="147"/>
      <c r="I13" s="147"/>
      <c r="J13" s="882">
        <f>SUM(C13:I13)</f>
        <v>0</v>
      </c>
    </row>
    <row r="14" spans="1:10">
      <c r="A14" s="880">
        <f>A13+1</f>
        <v>6</v>
      </c>
      <c r="B14" s="848" t="s">
        <v>69</v>
      </c>
      <c r="C14" s="883">
        <f t="shared" ref="C14:J14" si="0">C9-C10+C11+C12-C13</f>
        <v>0</v>
      </c>
      <c r="D14" s="883"/>
      <c r="E14" s="883">
        <f t="shared" si="0"/>
        <v>0</v>
      </c>
      <c r="F14" s="883">
        <f t="shared" si="0"/>
        <v>0</v>
      </c>
      <c r="G14" s="883">
        <f t="shared" si="0"/>
        <v>0</v>
      </c>
      <c r="H14" s="883">
        <f t="shared" si="0"/>
        <v>0</v>
      </c>
      <c r="I14" s="883">
        <f t="shared" si="0"/>
        <v>0</v>
      </c>
      <c r="J14" s="883">
        <f t="shared" si="0"/>
        <v>0</v>
      </c>
    </row>
    <row r="16" spans="1:10" ht="12.75" customHeight="1">
      <c r="A16" s="880">
        <f>A14+1</f>
        <v>7</v>
      </c>
      <c r="B16" s="1597" t="s">
        <v>555</v>
      </c>
      <c r="C16" s="1597"/>
      <c r="D16" s="1597"/>
      <c r="E16" s="1597"/>
      <c r="F16" s="1597"/>
      <c r="G16" s="1597"/>
      <c r="H16" s="1597"/>
      <c r="I16" s="1597"/>
      <c r="J16" s="1597"/>
    </row>
    <row r="17" spans="1:10" ht="12.75" customHeight="1">
      <c r="B17" s="884"/>
      <c r="C17" s="884"/>
      <c r="D17" s="884"/>
      <c r="E17" s="884"/>
      <c r="F17" s="884"/>
      <c r="G17" s="884"/>
      <c r="H17" s="884"/>
      <c r="I17" s="884"/>
      <c r="J17" s="884"/>
    </row>
    <row r="18" spans="1:10" ht="15">
      <c r="A18" s="842" t="s">
        <v>524</v>
      </c>
    </row>
    <row r="19" spans="1:10">
      <c r="A19" s="880">
        <f>A16+1</f>
        <v>8</v>
      </c>
      <c r="B19" s="846" t="s">
        <v>350</v>
      </c>
      <c r="C19" s="146"/>
      <c r="D19" s="146"/>
      <c r="E19" s="146"/>
      <c r="F19" s="146"/>
      <c r="G19" s="146"/>
      <c r="H19" s="146"/>
      <c r="I19" s="146"/>
      <c r="J19" s="486">
        <f t="shared" ref="J19:J24" si="1">SUM(C19:I19)</f>
        <v>0</v>
      </c>
    </row>
    <row r="20" spans="1:10">
      <c r="A20" s="880">
        <f t="shared" ref="A20:A25" si="2">A19+1</f>
        <v>9</v>
      </c>
      <c r="B20" s="846" t="s">
        <v>343</v>
      </c>
      <c r="C20" s="146"/>
      <c r="D20" s="146"/>
      <c r="E20" s="146"/>
      <c r="F20" s="146"/>
      <c r="G20" s="146"/>
      <c r="H20" s="146"/>
      <c r="I20" s="146"/>
      <c r="J20" s="486">
        <f t="shared" si="1"/>
        <v>0</v>
      </c>
    </row>
    <row r="21" spans="1:10">
      <c r="A21" s="880">
        <f t="shared" si="2"/>
        <v>10</v>
      </c>
      <c r="B21" s="846" t="s">
        <v>344</v>
      </c>
      <c r="C21" s="146"/>
      <c r="D21" s="146"/>
      <c r="E21" s="146"/>
      <c r="F21" s="146"/>
      <c r="G21" s="146"/>
      <c r="H21" s="146"/>
      <c r="I21" s="146"/>
      <c r="J21" s="486">
        <f t="shared" si="1"/>
        <v>0</v>
      </c>
    </row>
    <row r="22" spans="1:10">
      <c r="A22" s="880">
        <f t="shared" si="2"/>
        <v>11</v>
      </c>
      <c r="B22" s="846" t="s">
        <v>345</v>
      </c>
      <c r="C22" s="849"/>
      <c r="D22" s="849"/>
      <c r="E22" s="849"/>
      <c r="F22" s="849"/>
      <c r="G22" s="849"/>
      <c r="H22" s="849"/>
      <c r="I22" s="849"/>
      <c r="J22" s="829">
        <f t="shared" si="1"/>
        <v>0</v>
      </c>
    </row>
    <row r="23" spans="1:10">
      <c r="A23" s="880">
        <f t="shared" si="2"/>
        <v>12</v>
      </c>
      <c r="B23" s="846" t="s">
        <v>346</v>
      </c>
      <c r="C23" s="849"/>
      <c r="D23" s="849"/>
      <c r="E23" s="849"/>
      <c r="F23" s="849"/>
      <c r="G23" s="849"/>
      <c r="H23" s="849"/>
      <c r="I23" s="849"/>
      <c r="J23" s="829">
        <f t="shared" si="1"/>
        <v>0</v>
      </c>
    </row>
    <row r="24" spans="1:10">
      <c r="A24" s="880">
        <f t="shared" si="2"/>
        <v>13</v>
      </c>
      <c r="B24" s="885" t="s">
        <v>525</v>
      </c>
      <c r="C24" s="147"/>
      <c r="D24" s="147"/>
      <c r="E24" s="147"/>
      <c r="F24" s="147"/>
      <c r="G24" s="147"/>
      <c r="H24" s="147"/>
      <c r="I24" s="147"/>
      <c r="J24" s="882">
        <f t="shared" si="1"/>
        <v>0</v>
      </c>
    </row>
    <row r="25" spans="1:10">
      <c r="A25" s="880">
        <f t="shared" si="2"/>
        <v>14</v>
      </c>
      <c r="B25" s="886" t="s">
        <v>70</v>
      </c>
      <c r="C25" s="887">
        <f t="shared" ref="C25:J25" si="3">C19+C20+C21-C22-C23-C24</f>
        <v>0</v>
      </c>
      <c r="D25" s="887"/>
      <c r="E25" s="887">
        <f t="shared" si="3"/>
        <v>0</v>
      </c>
      <c r="F25" s="887">
        <f t="shared" si="3"/>
        <v>0</v>
      </c>
      <c r="G25" s="887">
        <f t="shared" si="3"/>
        <v>0</v>
      </c>
      <c r="H25" s="887">
        <f t="shared" si="3"/>
        <v>0</v>
      </c>
      <c r="I25" s="887">
        <f t="shared" si="3"/>
        <v>0</v>
      </c>
      <c r="J25" s="887">
        <f t="shared" si="3"/>
        <v>0</v>
      </c>
    </row>
    <row r="27" spans="1:10" ht="15">
      <c r="A27" s="842" t="s">
        <v>526</v>
      </c>
      <c r="B27" s="888"/>
      <c r="C27" s="888"/>
      <c r="D27" s="888"/>
      <c r="E27" s="888"/>
    </row>
    <row r="28" spans="1:10">
      <c r="A28" s="880">
        <f>A25+1</f>
        <v>15</v>
      </c>
      <c r="B28" s="845" t="s">
        <v>527</v>
      </c>
      <c r="C28" s="850"/>
      <c r="D28" s="909"/>
      <c r="E28" s="910"/>
      <c r="F28" s="909"/>
      <c r="G28" s="909"/>
      <c r="H28" s="850"/>
      <c r="I28" s="909"/>
      <c r="J28" s="889"/>
    </row>
    <row r="29" spans="1:10">
      <c r="A29" s="880">
        <f>A28+1</f>
        <v>16</v>
      </c>
      <c r="B29" s="845" t="s">
        <v>528</v>
      </c>
      <c r="C29" s="851"/>
      <c r="D29" s="911"/>
      <c r="E29" s="851"/>
      <c r="F29" s="911"/>
      <c r="G29" s="911"/>
      <c r="H29" s="851"/>
      <c r="I29" s="911"/>
      <c r="J29" s="890"/>
    </row>
    <row r="30" spans="1:10">
      <c r="A30" s="880">
        <f>A29+1</f>
        <v>17</v>
      </c>
      <c r="B30" s="845" t="s">
        <v>529</v>
      </c>
      <c r="C30" s="146"/>
      <c r="D30" s="912"/>
      <c r="E30" s="146"/>
      <c r="F30" s="912"/>
      <c r="G30" s="912"/>
      <c r="H30" s="146"/>
      <c r="I30" s="912"/>
    </row>
    <row r="31" spans="1:10">
      <c r="A31" s="880">
        <f>A30+1</f>
        <v>18</v>
      </c>
      <c r="B31" s="845" t="str">
        <f>"Monetary Value (Ln "&amp;A29&amp;" * Ln "&amp;A30&amp;")"</f>
        <v>Monetary Value (Ln 16 * Ln 17)</v>
      </c>
      <c r="C31" s="485">
        <f t="shared" ref="C31:I31" si="4">C29*C30</f>
        <v>0</v>
      </c>
      <c r="D31" s="485"/>
      <c r="E31" s="485">
        <f t="shared" si="4"/>
        <v>0</v>
      </c>
      <c r="F31" s="485">
        <f t="shared" si="4"/>
        <v>0</v>
      </c>
      <c r="G31" s="485">
        <f t="shared" si="4"/>
        <v>0</v>
      </c>
      <c r="H31" s="485">
        <f t="shared" si="4"/>
        <v>0</v>
      </c>
      <c r="I31" s="485">
        <f t="shared" si="4"/>
        <v>0</v>
      </c>
      <c r="J31" s="887">
        <f>SUM(C31:I31)</f>
        <v>0</v>
      </c>
    </row>
    <row r="32" spans="1:10">
      <c r="A32" s="880">
        <f>A31+1</f>
        <v>19</v>
      </c>
      <c r="B32" s="845" t="str">
        <f>"Dividend Amount (Ln "&amp;A28&amp;" * Ln "&amp;A31&amp;")"</f>
        <v>Dividend Amount (Ln 15 * Ln 18)</v>
      </c>
      <c r="C32" s="485">
        <f t="shared" ref="C32:I32" si="5">C31*C28</f>
        <v>0</v>
      </c>
      <c r="D32" s="485"/>
      <c r="E32" s="485">
        <f t="shared" si="5"/>
        <v>0</v>
      </c>
      <c r="F32" s="485">
        <f t="shared" si="5"/>
        <v>0</v>
      </c>
      <c r="G32" s="485">
        <f t="shared" si="5"/>
        <v>0</v>
      </c>
      <c r="H32" s="485">
        <f t="shared" si="5"/>
        <v>0</v>
      </c>
      <c r="I32" s="485">
        <f t="shared" si="5"/>
        <v>0</v>
      </c>
      <c r="J32" s="887">
        <f>SUM(C32:I32)</f>
        <v>0</v>
      </c>
    </row>
    <row r="34" spans="1:10">
      <c r="A34" s="880">
        <f>A32+1</f>
        <v>20</v>
      </c>
      <c r="B34" s="845" t="s">
        <v>527</v>
      </c>
      <c r="C34" s="850"/>
      <c r="D34" s="909"/>
      <c r="E34" s="910"/>
      <c r="F34" s="909"/>
      <c r="G34" s="909"/>
      <c r="H34" s="850"/>
      <c r="I34" s="909"/>
    </row>
    <row r="35" spans="1:10">
      <c r="A35" s="880">
        <f>A34+1</f>
        <v>21</v>
      </c>
      <c r="B35" s="845" t="s">
        <v>528</v>
      </c>
      <c r="C35" s="851"/>
      <c r="D35" s="911"/>
      <c r="E35" s="851"/>
      <c r="F35" s="911"/>
      <c r="G35" s="911"/>
      <c r="H35" s="851"/>
      <c r="I35" s="911"/>
    </row>
    <row r="36" spans="1:10">
      <c r="A36" s="880">
        <f>A35+1</f>
        <v>22</v>
      </c>
      <c r="B36" s="845" t="s">
        <v>529</v>
      </c>
      <c r="C36" s="146"/>
      <c r="D36" s="912"/>
      <c r="E36" s="146"/>
      <c r="F36" s="912"/>
      <c r="G36" s="912"/>
      <c r="H36" s="146"/>
      <c r="I36" s="912"/>
    </row>
    <row r="37" spans="1:10">
      <c r="A37" s="880">
        <f>A36+1</f>
        <v>23</v>
      </c>
      <c r="B37" s="845" t="str">
        <f>"Monetary Value (Ln "&amp;A35&amp;" * Ln "&amp;A36&amp;")"</f>
        <v>Monetary Value (Ln 21 * Ln 22)</v>
      </c>
      <c r="C37" s="485">
        <f t="shared" ref="C37:I37" si="6">C35*C36</f>
        <v>0</v>
      </c>
      <c r="D37" s="485"/>
      <c r="E37" s="485">
        <f t="shared" si="6"/>
        <v>0</v>
      </c>
      <c r="F37" s="485">
        <f t="shared" si="6"/>
        <v>0</v>
      </c>
      <c r="G37" s="485">
        <f t="shared" si="6"/>
        <v>0</v>
      </c>
      <c r="H37" s="485">
        <f t="shared" si="6"/>
        <v>0</v>
      </c>
      <c r="I37" s="485">
        <f t="shared" si="6"/>
        <v>0</v>
      </c>
      <c r="J37" s="887">
        <f>SUM(C37:I37)</f>
        <v>0</v>
      </c>
    </row>
    <row r="38" spans="1:10">
      <c r="A38" s="880">
        <f>A37+1</f>
        <v>24</v>
      </c>
      <c r="B38" s="845" t="str">
        <f>"Dividend Amount (Ln "&amp;A34&amp;" * Ln "&amp;A37&amp;")"</f>
        <v>Dividend Amount (Ln 20 * Ln 23)</v>
      </c>
      <c r="C38" s="485">
        <f t="shared" ref="C38:I38" si="7">C37*C34</f>
        <v>0</v>
      </c>
      <c r="D38" s="485"/>
      <c r="E38" s="485">
        <f t="shared" si="7"/>
        <v>0</v>
      </c>
      <c r="F38" s="485">
        <f t="shared" si="7"/>
        <v>0</v>
      </c>
      <c r="G38" s="485">
        <f t="shared" si="7"/>
        <v>0</v>
      </c>
      <c r="H38" s="485">
        <f t="shared" si="7"/>
        <v>0</v>
      </c>
      <c r="I38" s="485">
        <f t="shared" si="7"/>
        <v>0</v>
      </c>
      <c r="J38" s="887">
        <f>SUM(C38:I38)</f>
        <v>0</v>
      </c>
    </row>
    <row r="40" spans="1:10">
      <c r="A40" s="880">
        <f>A38+1</f>
        <v>25</v>
      </c>
      <c r="B40" s="845" t="s">
        <v>527</v>
      </c>
      <c r="C40" s="850"/>
      <c r="D40" s="909"/>
      <c r="E40" s="910"/>
      <c r="F40" s="909"/>
      <c r="G40" s="909"/>
      <c r="H40" s="850"/>
      <c r="I40" s="909"/>
    </row>
    <row r="41" spans="1:10">
      <c r="A41" s="880">
        <f>A40+1</f>
        <v>26</v>
      </c>
      <c r="B41" s="845" t="s">
        <v>528</v>
      </c>
      <c r="C41" s="851"/>
      <c r="D41" s="911"/>
      <c r="E41" s="851"/>
      <c r="F41" s="911"/>
      <c r="G41" s="911"/>
      <c r="H41" s="851"/>
      <c r="I41" s="911"/>
    </row>
    <row r="42" spans="1:10">
      <c r="A42" s="880">
        <f>A41+1</f>
        <v>27</v>
      </c>
      <c r="B42" s="845" t="s">
        <v>529</v>
      </c>
      <c r="C42" s="146"/>
      <c r="D42" s="912"/>
      <c r="E42" s="146"/>
      <c r="F42" s="912"/>
      <c r="G42" s="912"/>
      <c r="H42" s="146"/>
      <c r="I42" s="912"/>
    </row>
    <row r="43" spans="1:10">
      <c r="A43" s="880">
        <f>A42+1</f>
        <v>28</v>
      </c>
      <c r="B43" s="845" t="str">
        <f>"Monetary Value (Ln "&amp;A41&amp;" * Ln "&amp;A42&amp;")"</f>
        <v>Monetary Value (Ln 26 * Ln 27)</v>
      </c>
      <c r="C43" s="485">
        <f t="shared" ref="C43:I43" si="8">C41*C42</f>
        <v>0</v>
      </c>
      <c r="D43" s="485"/>
      <c r="E43" s="485">
        <f t="shared" si="8"/>
        <v>0</v>
      </c>
      <c r="F43" s="485">
        <f t="shared" si="8"/>
        <v>0</v>
      </c>
      <c r="G43" s="485">
        <f t="shared" si="8"/>
        <v>0</v>
      </c>
      <c r="H43" s="485">
        <f t="shared" si="8"/>
        <v>0</v>
      </c>
      <c r="I43" s="485">
        <f t="shared" si="8"/>
        <v>0</v>
      </c>
      <c r="J43" s="887">
        <f>SUM(C43:I43)</f>
        <v>0</v>
      </c>
    </row>
    <row r="44" spans="1:10">
      <c r="A44" s="880">
        <f>A43+1</f>
        <v>29</v>
      </c>
      <c r="B44" s="845" t="str">
        <f>"Dividend Amount (Ln "&amp;A40&amp;" * Ln "&amp;A43&amp;")"</f>
        <v>Dividend Amount (Ln 25 * Ln 28)</v>
      </c>
      <c r="C44" s="485">
        <f t="shared" ref="C44:I44" si="9">C43*C40</f>
        <v>0</v>
      </c>
      <c r="D44" s="485"/>
      <c r="E44" s="485">
        <f t="shared" si="9"/>
        <v>0</v>
      </c>
      <c r="F44" s="485">
        <f t="shared" si="9"/>
        <v>0</v>
      </c>
      <c r="G44" s="485">
        <f t="shared" si="9"/>
        <v>0</v>
      </c>
      <c r="H44" s="485">
        <f t="shared" si="9"/>
        <v>0</v>
      </c>
      <c r="I44" s="485">
        <f t="shared" si="9"/>
        <v>0</v>
      </c>
      <c r="J44" s="887">
        <f>SUM(C44:I44)</f>
        <v>0</v>
      </c>
    </row>
    <row r="46" spans="1:10">
      <c r="A46" s="880">
        <f>A44+1</f>
        <v>30</v>
      </c>
      <c r="B46" s="845" t="s">
        <v>527</v>
      </c>
      <c r="C46" s="850"/>
      <c r="D46" s="909"/>
      <c r="E46" s="910"/>
      <c r="F46" s="909"/>
      <c r="G46" s="909"/>
      <c r="H46" s="850"/>
      <c r="I46" s="909"/>
    </row>
    <row r="47" spans="1:10">
      <c r="A47" s="880">
        <f>A46+1</f>
        <v>31</v>
      </c>
      <c r="B47" s="845" t="s">
        <v>528</v>
      </c>
      <c r="C47" s="851"/>
      <c r="D47" s="911"/>
      <c r="E47" s="851"/>
      <c r="F47" s="911"/>
      <c r="G47" s="911"/>
      <c r="H47" s="851"/>
      <c r="I47" s="911"/>
    </row>
    <row r="48" spans="1:10">
      <c r="A48" s="880">
        <f>A47+1</f>
        <v>32</v>
      </c>
      <c r="B48" s="845" t="s">
        <v>529</v>
      </c>
      <c r="C48" s="146"/>
      <c r="D48" s="912"/>
      <c r="E48" s="146"/>
      <c r="F48" s="912"/>
      <c r="G48" s="912"/>
      <c r="H48" s="146"/>
      <c r="I48" s="912"/>
    </row>
    <row r="49" spans="1:10">
      <c r="A49" s="880">
        <f>A48+1</f>
        <v>33</v>
      </c>
      <c r="B49" s="845" t="str">
        <f>"Monetary Value (Ln "&amp;A47&amp;" * Ln "&amp;A48&amp;")"</f>
        <v>Monetary Value (Ln 31 * Ln 32)</v>
      </c>
      <c r="C49" s="485">
        <f t="shared" ref="C49:I49" si="10">C47*C48</f>
        <v>0</v>
      </c>
      <c r="D49" s="485"/>
      <c r="E49" s="485">
        <f t="shared" si="10"/>
        <v>0</v>
      </c>
      <c r="F49" s="485">
        <f t="shared" si="10"/>
        <v>0</v>
      </c>
      <c r="G49" s="485">
        <f t="shared" si="10"/>
        <v>0</v>
      </c>
      <c r="H49" s="485">
        <f t="shared" si="10"/>
        <v>0</v>
      </c>
      <c r="I49" s="485">
        <f t="shared" si="10"/>
        <v>0</v>
      </c>
      <c r="J49" s="887">
        <f>SUM(C49:I49)</f>
        <v>0</v>
      </c>
    </row>
    <row r="50" spans="1:10">
      <c r="A50" s="880">
        <f>A49+1</f>
        <v>34</v>
      </c>
      <c r="B50" s="845" t="str">
        <f>"Dividend Amount (Ln "&amp;A46&amp;" * Ln "&amp;A49&amp;")"</f>
        <v>Dividend Amount (Ln 30 * Ln 33)</v>
      </c>
      <c r="C50" s="485">
        <f t="shared" ref="C50:I50" si="11">C49*C46</f>
        <v>0</v>
      </c>
      <c r="D50" s="485"/>
      <c r="E50" s="485">
        <f t="shared" si="11"/>
        <v>0</v>
      </c>
      <c r="F50" s="485">
        <f t="shared" si="11"/>
        <v>0</v>
      </c>
      <c r="G50" s="485">
        <f t="shared" si="11"/>
        <v>0</v>
      </c>
      <c r="H50" s="485">
        <f t="shared" si="11"/>
        <v>0</v>
      </c>
      <c r="I50" s="485">
        <f t="shared" si="11"/>
        <v>0</v>
      </c>
      <c r="J50" s="887">
        <f>SUM(C50:I50)</f>
        <v>0</v>
      </c>
    </row>
    <row r="51" spans="1:10">
      <c r="B51" s="845"/>
    </row>
    <row r="52" spans="1:10">
      <c r="A52" s="880">
        <f>A50+1</f>
        <v>35</v>
      </c>
      <c r="B52" s="843" t="str">
        <f>"Preferred Stock (Lns "&amp;A31&amp;", "&amp;A37&amp;", "&amp;A43&amp;","&amp;A49&amp;")"</f>
        <v>Preferred Stock (Lns 18, 23, 28,33)</v>
      </c>
      <c r="C52" s="887">
        <f t="shared" ref="C52:I53" si="12">C31+C37+C43+C49</f>
        <v>0</v>
      </c>
      <c r="D52" s="887"/>
      <c r="E52" s="887">
        <f t="shared" si="12"/>
        <v>0</v>
      </c>
      <c r="F52" s="887">
        <f t="shared" si="12"/>
        <v>0</v>
      </c>
      <c r="G52" s="887">
        <f t="shared" si="12"/>
        <v>0</v>
      </c>
      <c r="H52" s="887">
        <f t="shared" si="12"/>
        <v>0</v>
      </c>
      <c r="I52" s="887">
        <f t="shared" si="12"/>
        <v>0</v>
      </c>
      <c r="J52" s="887">
        <f>SUM(C52:I52)</f>
        <v>0</v>
      </c>
    </row>
    <row r="53" spans="1:10">
      <c r="A53" s="880">
        <f>A52+1</f>
        <v>36</v>
      </c>
      <c r="B53" s="843" t="str">
        <f>"Preferred Dividends (Lns "&amp;A32&amp;", "&amp;A38&amp;", "&amp;A44&amp;","&amp;A50&amp;")"</f>
        <v>Preferred Dividends (Lns 19, 24, 29,34)</v>
      </c>
      <c r="C53" s="887">
        <f t="shared" si="12"/>
        <v>0</v>
      </c>
      <c r="D53" s="887"/>
      <c r="E53" s="887">
        <f t="shared" si="12"/>
        <v>0</v>
      </c>
      <c r="F53" s="887">
        <f t="shared" si="12"/>
        <v>0</v>
      </c>
      <c r="G53" s="887">
        <f t="shared" si="12"/>
        <v>0</v>
      </c>
      <c r="H53" s="887">
        <f t="shared" si="12"/>
        <v>0</v>
      </c>
      <c r="I53" s="887">
        <f t="shared" si="12"/>
        <v>0</v>
      </c>
      <c r="J53" s="887">
        <f>SUM(C53:I53)</f>
        <v>0</v>
      </c>
    </row>
    <row r="54" spans="1:10">
      <c r="B54" s="891"/>
    </row>
    <row r="55" spans="1:10" ht="15">
      <c r="A55" s="842" t="s">
        <v>530</v>
      </c>
    </row>
    <row r="56" spans="1:10">
      <c r="A56" s="880">
        <f>A53+1</f>
        <v>37</v>
      </c>
      <c r="B56" s="661" t="s">
        <v>531</v>
      </c>
      <c r="C56" s="146"/>
      <c r="D56" s="146"/>
      <c r="E56" s="146"/>
      <c r="F56" s="146"/>
      <c r="G56" s="146"/>
      <c r="H56" s="146"/>
      <c r="I56" s="146"/>
      <c r="J56" s="887">
        <f>SUM(C56:I56)</f>
        <v>0</v>
      </c>
    </row>
    <row r="57" spans="1:10">
      <c r="A57" s="880">
        <f>A56+1</f>
        <v>38</v>
      </c>
      <c r="B57" s="661" t="str">
        <f>"Less: Preferred Stock (Ln "&amp;A52&amp;" Above)"</f>
        <v>Less: Preferred Stock (Ln 35 Above)</v>
      </c>
      <c r="C57" s="486">
        <f t="shared" ref="C57:I57" si="13">C52</f>
        <v>0</v>
      </c>
      <c r="D57" s="486"/>
      <c r="E57" s="486">
        <f t="shared" si="13"/>
        <v>0</v>
      </c>
      <c r="F57" s="486">
        <f t="shared" si="13"/>
        <v>0</v>
      </c>
      <c r="G57" s="486">
        <f t="shared" si="13"/>
        <v>0</v>
      </c>
      <c r="H57" s="486">
        <f t="shared" si="13"/>
        <v>0</v>
      </c>
      <c r="I57" s="486">
        <f t="shared" si="13"/>
        <v>0</v>
      </c>
      <c r="J57" s="887">
        <f>SUM(C57:I57)</f>
        <v>0</v>
      </c>
    </row>
    <row r="58" spans="1:10">
      <c r="A58" s="880">
        <f>A57+1</f>
        <v>39</v>
      </c>
      <c r="B58" s="661" t="s">
        <v>532</v>
      </c>
      <c r="C58" s="849"/>
      <c r="D58" s="849"/>
      <c r="E58" s="849"/>
      <c r="F58" s="849"/>
      <c r="G58" s="849"/>
      <c r="H58" s="849"/>
      <c r="I58" s="849"/>
      <c r="J58" s="887">
        <f>SUM(C58:I58)</f>
        <v>0</v>
      </c>
    </row>
    <row r="59" spans="1:10">
      <c r="A59" s="880">
        <f>A58+1</f>
        <v>40</v>
      </c>
      <c r="B59" s="661" t="s">
        <v>533</v>
      </c>
      <c r="C59" s="147"/>
      <c r="D59" s="147"/>
      <c r="E59" s="147"/>
      <c r="F59" s="147"/>
      <c r="G59" s="147"/>
      <c r="H59" s="147"/>
      <c r="I59" s="147"/>
      <c r="J59" s="892">
        <f>SUM(C59:I59)</f>
        <v>0</v>
      </c>
    </row>
    <row r="60" spans="1:10">
      <c r="A60" s="880">
        <f>A59+1</f>
        <v>41</v>
      </c>
      <c r="B60" s="844" t="s">
        <v>534</v>
      </c>
      <c r="C60" s="829">
        <f t="shared" ref="C60:J60" si="14">C56-C57-C58-C59</f>
        <v>0</v>
      </c>
      <c r="D60" s="829"/>
      <c r="E60" s="829">
        <f t="shared" si="14"/>
        <v>0</v>
      </c>
      <c r="F60" s="829">
        <f t="shared" si="14"/>
        <v>0</v>
      </c>
      <c r="G60" s="829">
        <f t="shared" si="14"/>
        <v>0</v>
      </c>
      <c r="H60" s="829">
        <f t="shared" si="14"/>
        <v>0</v>
      </c>
      <c r="I60" s="829">
        <f t="shared" si="14"/>
        <v>0</v>
      </c>
      <c r="J60" s="829">
        <f t="shared" si="14"/>
        <v>0</v>
      </c>
    </row>
    <row r="62" spans="1:10" ht="15">
      <c r="A62" s="842" t="s">
        <v>535</v>
      </c>
    </row>
    <row r="63" spans="1:10">
      <c r="A63" s="880">
        <f>A60+1</f>
        <v>42</v>
      </c>
      <c r="B63" s="465" t="str">
        <f>"Long Term Debt (Ln "&amp;A14&amp;" Above)"</f>
        <v>Long Term Debt (Ln 6 Above)</v>
      </c>
      <c r="C63" s="887">
        <f t="shared" ref="C63:J63" si="15">C14</f>
        <v>0</v>
      </c>
      <c r="D63" s="887"/>
      <c r="E63" s="887">
        <f t="shared" si="15"/>
        <v>0</v>
      </c>
      <c r="F63" s="887">
        <f t="shared" si="15"/>
        <v>0</v>
      </c>
      <c r="G63" s="887">
        <f t="shared" si="15"/>
        <v>0</v>
      </c>
      <c r="H63" s="887">
        <f t="shared" si="15"/>
        <v>0</v>
      </c>
      <c r="I63" s="887">
        <f t="shared" si="15"/>
        <v>0</v>
      </c>
      <c r="J63" s="887">
        <f t="shared" si="15"/>
        <v>0</v>
      </c>
    </row>
    <row r="64" spans="1:10">
      <c r="A64" s="880">
        <f>A63+1</f>
        <v>43</v>
      </c>
      <c r="B64" s="465" t="str">
        <f>"Preferred Stock (Ln "&amp;A52&amp;" Above)"</f>
        <v>Preferred Stock (Ln 35 Above)</v>
      </c>
      <c r="C64" s="887">
        <f t="shared" ref="C64:J64" si="16">C52</f>
        <v>0</v>
      </c>
      <c r="D64" s="887"/>
      <c r="E64" s="887">
        <f t="shared" si="16"/>
        <v>0</v>
      </c>
      <c r="F64" s="887">
        <f t="shared" si="16"/>
        <v>0</v>
      </c>
      <c r="G64" s="887">
        <f t="shared" si="16"/>
        <v>0</v>
      </c>
      <c r="H64" s="887">
        <f t="shared" si="16"/>
        <v>0</v>
      </c>
      <c r="I64" s="887">
        <f t="shared" si="16"/>
        <v>0</v>
      </c>
      <c r="J64" s="887">
        <f t="shared" si="16"/>
        <v>0</v>
      </c>
    </row>
    <row r="65" spans="1:10">
      <c r="A65" s="880">
        <f>A64+1</f>
        <v>44</v>
      </c>
      <c r="B65" s="465" t="str">
        <f>"Common Equity (Ln "&amp;A60&amp;" Above)"</f>
        <v>Common Equity (Ln 41 Above)</v>
      </c>
      <c r="C65" s="892">
        <f t="shared" ref="C65:J65" si="17">C60</f>
        <v>0</v>
      </c>
      <c r="D65" s="892"/>
      <c r="E65" s="892">
        <f t="shared" si="17"/>
        <v>0</v>
      </c>
      <c r="F65" s="892">
        <f t="shared" si="17"/>
        <v>0</v>
      </c>
      <c r="G65" s="892">
        <f t="shared" si="17"/>
        <v>0</v>
      </c>
      <c r="H65" s="892">
        <f t="shared" si="17"/>
        <v>0</v>
      </c>
      <c r="I65" s="892">
        <f t="shared" si="17"/>
        <v>0</v>
      </c>
      <c r="J65" s="892">
        <f t="shared" si="17"/>
        <v>0</v>
      </c>
    </row>
    <row r="66" spans="1:10">
      <c r="A66" s="880">
        <f>A65+1</f>
        <v>45</v>
      </c>
      <c r="B66" s="880" t="s">
        <v>536</v>
      </c>
      <c r="C66" s="887">
        <f t="shared" ref="C66:J66" si="18">SUM(C63:C65)</f>
        <v>0</v>
      </c>
      <c r="D66" s="887"/>
      <c r="E66" s="887">
        <f t="shared" si="18"/>
        <v>0</v>
      </c>
      <c r="F66" s="887">
        <f t="shared" si="18"/>
        <v>0</v>
      </c>
      <c r="G66" s="887">
        <f t="shared" si="18"/>
        <v>0</v>
      </c>
      <c r="H66" s="887">
        <f t="shared" si="18"/>
        <v>0</v>
      </c>
      <c r="I66" s="887">
        <f t="shared" si="18"/>
        <v>0</v>
      </c>
      <c r="J66" s="887">
        <f t="shared" si="18"/>
        <v>0</v>
      </c>
    </row>
    <row r="68" spans="1:10">
      <c r="A68" s="880">
        <f>A66+1</f>
        <v>46</v>
      </c>
      <c r="B68" s="465" t="str">
        <f>"LTD Capital Shares (Ln "&amp;A63&amp;" / Ln "&amp;A66&amp;")"</f>
        <v>LTD Capital Shares (Ln 42 / Ln 45)</v>
      </c>
      <c r="C68" s="893" t="e">
        <f t="shared" ref="C68:J68" si="19">C63/C66</f>
        <v>#DIV/0!</v>
      </c>
      <c r="D68" s="893"/>
      <c r="E68" s="893" t="e">
        <f t="shared" si="19"/>
        <v>#DIV/0!</v>
      </c>
      <c r="F68" s="893" t="e">
        <f t="shared" si="19"/>
        <v>#DIV/0!</v>
      </c>
      <c r="G68" s="893" t="e">
        <f t="shared" si="19"/>
        <v>#DIV/0!</v>
      </c>
      <c r="H68" s="893" t="e">
        <f t="shared" si="19"/>
        <v>#DIV/0!</v>
      </c>
      <c r="I68" s="893" t="e">
        <f t="shared" si="19"/>
        <v>#DIV/0!</v>
      </c>
      <c r="J68" s="893" t="e">
        <f t="shared" si="19"/>
        <v>#DIV/0!</v>
      </c>
    </row>
    <row r="69" spans="1:10">
      <c r="A69" s="880">
        <f>A68+1</f>
        <v>47</v>
      </c>
      <c r="B69" s="465" t="str">
        <f>"Preferred Stock Capital Shares (Ln "&amp;A64&amp;" / Ln "&amp;A66&amp;")"</f>
        <v>Preferred Stock Capital Shares (Ln 43 / Ln 45)</v>
      </c>
      <c r="C69" s="893" t="e">
        <f t="shared" ref="C69:J69" si="20">C64/C66</f>
        <v>#DIV/0!</v>
      </c>
      <c r="D69" s="893"/>
      <c r="E69" s="893" t="e">
        <f t="shared" si="20"/>
        <v>#DIV/0!</v>
      </c>
      <c r="F69" s="893" t="e">
        <f t="shared" si="20"/>
        <v>#DIV/0!</v>
      </c>
      <c r="G69" s="893" t="e">
        <f t="shared" si="20"/>
        <v>#DIV/0!</v>
      </c>
      <c r="H69" s="893" t="e">
        <f t="shared" si="20"/>
        <v>#DIV/0!</v>
      </c>
      <c r="I69" s="893" t="e">
        <f t="shared" si="20"/>
        <v>#DIV/0!</v>
      </c>
      <c r="J69" s="893" t="e">
        <f t="shared" si="20"/>
        <v>#DIV/0!</v>
      </c>
    </row>
    <row r="70" spans="1:10">
      <c r="A70" s="894">
        <f>A69+1</f>
        <v>48</v>
      </c>
      <c r="B70" s="465" t="str">
        <f>"Common Equity Capital Shares (Ln "&amp;A65&amp;" / Ln "&amp;A66&amp;")"</f>
        <v>Common Equity Capital Shares (Ln 44 / Ln 45)</v>
      </c>
      <c r="C70" s="895" t="e">
        <f t="shared" ref="C70:J70" si="21">C65/C66</f>
        <v>#DIV/0!</v>
      </c>
      <c r="D70" s="895"/>
      <c r="E70" s="895" t="e">
        <f t="shared" si="21"/>
        <v>#DIV/0!</v>
      </c>
      <c r="F70" s="895" t="e">
        <f t="shared" si="21"/>
        <v>#DIV/0!</v>
      </c>
      <c r="G70" s="895" t="e">
        <f t="shared" si="21"/>
        <v>#DIV/0!</v>
      </c>
      <c r="H70" s="895" t="e">
        <f t="shared" si="21"/>
        <v>#DIV/0!</v>
      </c>
      <c r="I70" s="895" t="e">
        <f t="shared" si="21"/>
        <v>#DIV/0!</v>
      </c>
      <c r="J70" s="895" t="e">
        <f t="shared" si="21"/>
        <v>#DIV/0!</v>
      </c>
    </row>
    <row r="71" spans="1:10">
      <c r="A71" s="894"/>
      <c r="B71" s="465"/>
      <c r="C71" s="895"/>
      <c r="D71" s="895"/>
      <c r="E71" s="895"/>
      <c r="F71" s="895"/>
      <c r="G71" s="895"/>
      <c r="H71" s="895"/>
      <c r="I71" s="895"/>
      <c r="J71" s="895"/>
    </row>
    <row r="72" spans="1:10">
      <c r="A72" s="894">
        <f>A70+1</f>
        <v>49</v>
      </c>
      <c r="B72" s="843" t="s">
        <v>566</v>
      </c>
      <c r="C72" s="896"/>
      <c r="D72" s="896"/>
      <c r="E72" s="896"/>
      <c r="F72" s="896"/>
      <c r="G72" s="896"/>
      <c r="H72" s="896"/>
      <c r="I72" s="896"/>
      <c r="J72" s="896"/>
    </row>
    <row r="73" spans="1:10">
      <c r="A73" s="894"/>
      <c r="B73" s="465"/>
      <c r="C73" s="895"/>
      <c r="D73" s="895"/>
      <c r="E73" s="895"/>
      <c r="F73" s="895"/>
      <c r="G73" s="895"/>
      <c r="H73" s="895"/>
      <c r="I73" s="895"/>
      <c r="J73" s="895"/>
    </row>
    <row r="74" spans="1:10">
      <c r="A74" s="894">
        <f>A72+1</f>
        <v>50</v>
      </c>
      <c r="B74" s="843" t="s">
        <v>566</v>
      </c>
      <c r="C74" s="895"/>
      <c r="D74" s="895"/>
      <c r="E74" s="895"/>
      <c r="F74" s="895"/>
      <c r="G74" s="895"/>
      <c r="H74" s="895"/>
      <c r="I74" s="895"/>
      <c r="J74" s="895"/>
    </row>
    <row r="75" spans="1:10">
      <c r="A75" s="894">
        <f>A74+1</f>
        <v>51</v>
      </c>
      <c r="B75" s="843" t="s">
        <v>566</v>
      </c>
      <c r="C75" s="895"/>
      <c r="D75" s="895"/>
      <c r="E75" s="895"/>
      <c r="F75" s="895"/>
      <c r="G75" s="895"/>
      <c r="H75" s="895"/>
      <c r="I75" s="895"/>
      <c r="J75" s="895"/>
    </row>
    <row r="76" spans="1:10">
      <c r="A76" s="894">
        <f>A75+1</f>
        <v>52</v>
      </c>
      <c r="B76" s="843" t="s">
        <v>566</v>
      </c>
      <c r="C76" s="895"/>
      <c r="D76" s="895"/>
      <c r="E76" s="895"/>
      <c r="F76" s="895"/>
      <c r="G76" s="895"/>
      <c r="H76" s="895"/>
      <c r="I76" s="895"/>
      <c r="J76" s="895"/>
    </row>
    <row r="77" spans="1:10">
      <c r="B77" s="465"/>
      <c r="C77" s="893"/>
      <c r="D77" s="893"/>
      <c r="E77" s="893"/>
      <c r="F77" s="893"/>
      <c r="G77" s="893"/>
      <c r="H77" s="893"/>
      <c r="I77" s="893"/>
      <c r="J77" s="893"/>
    </row>
    <row r="78" spans="1:10" ht="15">
      <c r="A78" s="842" t="s">
        <v>537</v>
      </c>
    </row>
    <row r="79" spans="1:10">
      <c r="A79" s="880">
        <f>A76+1</f>
        <v>53</v>
      </c>
      <c r="B79" s="465" t="str">
        <f>"LTD Capital Cost Rate (Ln "&amp;A25&amp;" / Ln "&amp;A14&amp;")"</f>
        <v>LTD Capital Cost Rate (Ln 14 / Ln 6)</v>
      </c>
      <c r="C79" s="893" t="e">
        <f t="shared" ref="C79:J79" si="22">C25/C14</f>
        <v>#DIV/0!</v>
      </c>
      <c r="D79" s="893"/>
      <c r="E79" s="893" t="e">
        <f t="shared" si="22"/>
        <v>#DIV/0!</v>
      </c>
      <c r="F79" s="893" t="e">
        <f t="shared" si="22"/>
        <v>#DIV/0!</v>
      </c>
      <c r="G79" s="893" t="e">
        <f t="shared" si="22"/>
        <v>#DIV/0!</v>
      </c>
      <c r="H79" s="893" t="e">
        <f t="shared" si="22"/>
        <v>#DIV/0!</v>
      </c>
      <c r="I79" s="893" t="e">
        <f t="shared" si="22"/>
        <v>#DIV/0!</v>
      </c>
      <c r="J79" s="893" t="e">
        <f t="shared" si="22"/>
        <v>#DIV/0!</v>
      </c>
    </row>
    <row r="80" spans="1:10">
      <c r="A80" s="880">
        <f>A79+1</f>
        <v>54</v>
      </c>
      <c r="B80" s="465" t="str">
        <f>"Preferred Stock Capital Cost Rate (Ln "&amp;A53&amp;" / Ln "&amp;A52&amp;")"</f>
        <v>Preferred Stock Capital Cost Rate (Ln 36 / Ln 35)</v>
      </c>
      <c r="C80" s="893">
        <f t="shared" ref="C80:J80" si="23">IF(C52=0,0,C53/C52)</f>
        <v>0</v>
      </c>
      <c r="D80" s="893"/>
      <c r="E80" s="893">
        <f t="shared" si="23"/>
        <v>0</v>
      </c>
      <c r="F80" s="893">
        <f t="shared" si="23"/>
        <v>0</v>
      </c>
      <c r="G80" s="893">
        <f t="shared" si="23"/>
        <v>0</v>
      </c>
      <c r="H80" s="893">
        <f t="shared" si="23"/>
        <v>0</v>
      </c>
      <c r="I80" s="893">
        <f t="shared" si="23"/>
        <v>0</v>
      </c>
      <c r="J80" s="893">
        <f t="shared" si="23"/>
        <v>0</v>
      </c>
    </row>
    <row r="81" spans="1:10">
      <c r="A81" s="880">
        <f>A80+1</f>
        <v>55</v>
      </c>
      <c r="B81" s="465" t="s">
        <v>538</v>
      </c>
      <c r="C81" s="893">
        <v>0.1149</v>
      </c>
      <c r="D81" s="893"/>
      <c r="E81" s="893">
        <v>0.1149</v>
      </c>
      <c r="F81" s="893">
        <v>0.1149</v>
      </c>
      <c r="G81" s="893">
        <v>0.1149</v>
      </c>
      <c r="H81" s="893">
        <v>0.1149</v>
      </c>
      <c r="I81" s="893">
        <v>0.1149</v>
      </c>
      <c r="J81" s="893">
        <v>0.1149</v>
      </c>
    </row>
    <row r="83" spans="1:10" ht="15">
      <c r="A83" s="842" t="s">
        <v>539</v>
      </c>
    </row>
    <row r="84" spans="1:10">
      <c r="A84" s="880">
        <f>A81+1</f>
        <v>56</v>
      </c>
      <c r="B84" s="465" t="str">
        <f>"LTD Weighted Capital Cost Rate (Ln "&amp;A68&amp;" * Ln "&amp;A79&amp;")"</f>
        <v>LTD Weighted Capital Cost Rate (Ln 46 * Ln 53)</v>
      </c>
      <c r="C84" s="893" t="e">
        <f>C68*C79</f>
        <v>#DIV/0!</v>
      </c>
      <c r="D84" s="893"/>
      <c r="E84" s="893" t="e">
        <f t="shared" ref="E84:J84" si="24">E68*E79</f>
        <v>#DIV/0!</v>
      </c>
      <c r="F84" s="893" t="e">
        <f t="shared" si="24"/>
        <v>#DIV/0!</v>
      </c>
      <c r="G84" s="893" t="e">
        <f t="shared" si="24"/>
        <v>#DIV/0!</v>
      </c>
      <c r="H84" s="893" t="e">
        <f t="shared" si="24"/>
        <v>#DIV/0!</v>
      </c>
      <c r="I84" s="893" t="e">
        <f t="shared" si="24"/>
        <v>#DIV/0!</v>
      </c>
      <c r="J84" s="893" t="e">
        <f t="shared" si="24"/>
        <v>#DIV/0!</v>
      </c>
    </row>
    <row r="85" spans="1:10">
      <c r="A85" s="880">
        <f>A84+1</f>
        <v>57</v>
      </c>
      <c r="B85" s="465" t="str">
        <f>"Preferred Stock Capital Cost Rate (Ln "&amp;A69&amp;" * Ln "&amp;A80&amp;")"</f>
        <v>Preferred Stock Capital Cost Rate (Ln 47 * Ln 54)</v>
      </c>
      <c r="C85" s="893" t="e">
        <f>C69*C80</f>
        <v>#DIV/0!</v>
      </c>
      <c r="D85" s="893"/>
      <c r="E85" s="893" t="e">
        <f t="shared" ref="E85:J85" si="25">E69*E80</f>
        <v>#DIV/0!</v>
      </c>
      <c r="F85" s="893" t="e">
        <f t="shared" si="25"/>
        <v>#DIV/0!</v>
      </c>
      <c r="G85" s="893" t="e">
        <f t="shared" si="25"/>
        <v>#DIV/0!</v>
      </c>
      <c r="H85" s="893" t="e">
        <f t="shared" si="25"/>
        <v>#DIV/0!</v>
      </c>
      <c r="I85" s="893" t="e">
        <f t="shared" si="25"/>
        <v>#DIV/0!</v>
      </c>
      <c r="J85" s="893" t="e">
        <f t="shared" si="25"/>
        <v>#DIV/0!</v>
      </c>
    </row>
    <row r="86" spans="1:10">
      <c r="A86" s="880">
        <f>A85+1</f>
        <v>58</v>
      </c>
      <c r="B86" s="465" t="str">
        <f>"Common Equity Capital Cost Rate (Ln "&amp;A70&amp;" * Ln "&amp;A81&amp;")"</f>
        <v>Common Equity Capital Cost Rate (Ln 48 * Ln 55)</v>
      </c>
      <c r="C86" s="897" t="e">
        <f>C70*C81</f>
        <v>#DIV/0!</v>
      </c>
      <c r="D86" s="897"/>
      <c r="E86" s="897" t="e">
        <f t="shared" ref="E86:J86" si="26">E70*E81</f>
        <v>#DIV/0!</v>
      </c>
      <c r="F86" s="897" t="e">
        <f t="shared" si="26"/>
        <v>#DIV/0!</v>
      </c>
      <c r="G86" s="897" t="e">
        <f t="shared" si="26"/>
        <v>#DIV/0!</v>
      </c>
      <c r="H86" s="897" t="e">
        <f t="shared" si="26"/>
        <v>#DIV/0!</v>
      </c>
      <c r="I86" s="897" t="e">
        <f t="shared" si="26"/>
        <v>#DIV/0!</v>
      </c>
      <c r="J86" s="897" t="e">
        <f t="shared" si="26"/>
        <v>#DIV/0!</v>
      </c>
    </row>
    <row r="87" spans="1:10">
      <c r="A87" s="880">
        <f>A86+1</f>
        <v>59</v>
      </c>
      <c r="B87" s="898" t="s">
        <v>536</v>
      </c>
      <c r="C87" s="899" t="e">
        <f t="shared" ref="C87:J87" si="27">SUM(C84:C86)</f>
        <v>#DIV/0!</v>
      </c>
      <c r="D87" s="899"/>
      <c r="E87" s="899" t="e">
        <f t="shared" si="27"/>
        <v>#DIV/0!</v>
      </c>
      <c r="F87" s="899" t="e">
        <f t="shared" si="27"/>
        <v>#DIV/0!</v>
      </c>
      <c r="G87" s="899" t="e">
        <f t="shared" si="27"/>
        <v>#DIV/0!</v>
      </c>
      <c r="H87" s="899" t="e">
        <f t="shared" si="27"/>
        <v>#DIV/0!</v>
      </c>
      <c r="I87" s="899" t="e">
        <f t="shared" si="27"/>
        <v>#DIV/0!</v>
      </c>
      <c r="J87" s="899" t="e">
        <f t="shared" si="27"/>
        <v>#DIV/0!</v>
      </c>
    </row>
    <row r="90" spans="1:10">
      <c r="A90" s="1598" t="s">
        <v>515</v>
      </c>
      <c r="B90" s="1598"/>
      <c r="C90" s="1598"/>
      <c r="D90" s="1598"/>
      <c r="E90" s="1598"/>
      <c r="F90" s="1598"/>
      <c r="G90" s="1598"/>
      <c r="H90" s="1598"/>
      <c r="I90" s="1598"/>
      <c r="J90" s="1598"/>
    </row>
    <row r="91" spans="1:10">
      <c r="A91" s="1598" t="str">
        <f>"Consolidation of Operating Companies' Capital Structure @ December 31, "&amp;TCOS!L4-1&amp;""</f>
        <v>Consolidation of Operating Companies' Capital Structure @ December 31, 2020</v>
      </c>
      <c r="B91" s="1598"/>
      <c r="C91" s="1598"/>
      <c r="D91" s="1598"/>
      <c r="E91" s="1598"/>
      <c r="F91" s="1598"/>
      <c r="G91" s="1598"/>
      <c r="H91" s="1598"/>
      <c r="I91" s="1598"/>
      <c r="J91" s="1598"/>
    </row>
    <row r="92" spans="1:10">
      <c r="A92" s="1598" t="s">
        <v>259</v>
      </c>
      <c r="B92" s="1598"/>
      <c r="C92" s="1598"/>
      <c r="D92" s="1598"/>
      <c r="E92" s="1598"/>
      <c r="F92" s="1598"/>
      <c r="G92" s="1598"/>
      <c r="H92" s="1598"/>
      <c r="I92" s="1598"/>
      <c r="J92" s="1598"/>
    </row>
    <row r="93" spans="1:10">
      <c r="B93" s="891"/>
      <c r="C93" s="894"/>
      <c r="D93" s="894"/>
      <c r="E93" s="894"/>
      <c r="F93" s="894"/>
      <c r="G93" s="894"/>
      <c r="H93" s="894"/>
      <c r="I93" s="894"/>
      <c r="J93" s="894"/>
    </row>
    <row r="94" spans="1:10" ht="76.5">
      <c r="A94" s="880" t="s">
        <v>469</v>
      </c>
      <c r="C94" s="881" t="s">
        <v>516</v>
      </c>
      <c r="D94" s="881"/>
      <c r="E94" s="881" t="s">
        <v>517</v>
      </c>
      <c r="F94" s="881" t="s">
        <v>518</v>
      </c>
      <c r="G94" s="881" t="s">
        <v>519</v>
      </c>
      <c r="H94" s="881" t="s">
        <v>520</v>
      </c>
      <c r="I94" s="881" t="s">
        <v>521</v>
      </c>
      <c r="J94" s="881" t="s">
        <v>522</v>
      </c>
    </row>
    <row r="95" spans="1:10" ht="15">
      <c r="A95" s="842" t="s">
        <v>523</v>
      </c>
    </row>
    <row r="96" spans="1:10">
      <c r="A96" s="880">
        <f>A87+1</f>
        <v>60</v>
      </c>
      <c r="B96" s="846" t="s">
        <v>348</v>
      </c>
      <c r="C96" s="849"/>
      <c r="D96" s="849"/>
      <c r="E96" s="849"/>
      <c r="F96" s="849"/>
      <c r="G96" s="849"/>
      <c r="H96" s="849"/>
      <c r="I96" s="849"/>
      <c r="J96" s="829">
        <f>SUM(C96:I96)</f>
        <v>0</v>
      </c>
    </row>
    <row r="97" spans="1:10">
      <c r="A97" s="880">
        <f>A96+1</f>
        <v>61</v>
      </c>
      <c r="B97" s="846" t="s">
        <v>349</v>
      </c>
      <c r="C97" s="849"/>
      <c r="D97" s="849"/>
      <c r="E97" s="849"/>
      <c r="F97" s="849"/>
      <c r="G97" s="849"/>
      <c r="H97" s="849"/>
      <c r="I97" s="849"/>
      <c r="J97" s="829">
        <f>SUM(C97:I97)</f>
        <v>0</v>
      </c>
    </row>
    <row r="98" spans="1:10">
      <c r="A98" s="880">
        <f>A97+1</f>
        <v>62</v>
      </c>
      <c r="B98" s="847" t="s">
        <v>25</v>
      </c>
      <c r="C98" s="849"/>
      <c r="D98" s="849"/>
      <c r="E98" s="849"/>
      <c r="F98" s="849"/>
      <c r="G98" s="849"/>
      <c r="H98" s="849"/>
      <c r="I98" s="849"/>
      <c r="J98" s="829">
        <f>SUM(C98:I98)</f>
        <v>0</v>
      </c>
    </row>
    <row r="99" spans="1:10">
      <c r="A99" s="880">
        <f>A98+1</f>
        <v>63</v>
      </c>
      <c r="B99" s="847" t="s">
        <v>19</v>
      </c>
      <c r="C99" s="849"/>
      <c r="D99" s="849"/>
      <c r="E99" s="849"/>
      <c r="F99" s="849"/>
      <c r="G99" s="849"/>
      <c r="H99" s="849"/>
      <c r="I99" s="849"/>
      <c r="J99" s="829">
        <f>SUM(C99:I99)</f>
        <v>0</v>
      </c>
    </row>
    <row r="100" spans="1:10">
      <c r="A100" s="880">
        <f>A99+1</f>
        <v>64</v>
      </c>
      <c r="B100" s="847" t="str">
        <f>"Less: Fair Value Hedges (See Note on Ln "&amp;A103&amp;" below)"</f>
        <v>Less: Fair Value Hedges (See Note on Ln 66 below)</v>
      </c>
      <c r="C100" s="147"/>
      <c r="D100" s="147"/>
      <c r="E100" s="147"/>
      <c r="F100" s="147"/>
      <c r="G100" s="147"/>
      <c r="H100" s="147"/>
      <c r="I100" s="147"/>
      <c r="J100" s="882">
        <f>SUM(C100:I100)</f>
        <v>0</v>
      </c>
    </row>
    <row r="101" spans="1:10">
      <c r="A101" s="880">
        <f>A100+1</f>
        <v>65</v>
      </c>
      <c r="B101" s="848" t="s">
        <v>69</v>
      </c>
      <c r="C101" s="883">
        <f t="shared" ref="C101:J101" si="28">C96-C97+C98+C99-C100</f>
        <v>0</v>
      </c>
      <c r="D101" s="883"/>
      <c r="E101" s="883">
        <f t="shared" si="28"/>
        <v>0</v>
      </c>
      <c r="F101" s="883">
        <f t="shared" si="28"/>
        <v>0</v>
      </c>
      <c r="G101" s="883">
        <f t="shared" si="28"/>
        <v>0</v>
      </c>
      <c r="H101" s="883">
        <f t="shared" si="28"/>
        <v>0</v>
      </c>
      <c r="I101" s="883">
        <f t="shared" si="28"/>
        <v>0</v>
      </c>
      <c r="J101" s="883">
        <f t="shared" si="28"/>
        <v>0</v>
      </c>
    </row>
    <row r="103" spans="1:10">
      <c r="A103" s="880">
        <f>A101+1</f>
        <v>66</v>
      </c>
      <c r="B103" s="1597" t="s">
        <v>68</v>
      </c>
      <c r="C103" s="1597"/>
      <c r="D103" s="1597"/>
      <c r="E103" s="1597"/>
      <c r="F103" s="1597"/>
      <c r="G103" s="1597"/>
      <c r="H103" s="1597"/>
      <c r="I103" s="1597"/>
      <c r="J103" s="1597"/>
    </row>
    <row r="104" spans="1:10">
      <c r="B104" s="884"/>
      <c r="C104" s="884"/>
      <c r="D104" s="884"/>
      <c r="E104" s="884"/>
      <c r="F104" s="884"/>
      <c r="G104" s="884"/>
      <c r="H104" s="884"/>
      <c r="I104" s="884"/>
      <c r="J104" s="884"/>
    </row>
    <row r="105" spans="1:10" ht="15">
      <c r="A105" s="842" t="s">
        <v>524</v>
      </c>
    </row>
    <row r="106" spans="1:10">
      <c r="A106" s="880">
        <f>A103+1</f>
        <v>67</v>
      </c>
      <c r="B106" s="846" t="s">
        <v>350</v>
      </c>
      <c r="C106" s="146"/>
      <c r="D106" s="146"/>
      <c r="E106" s="146"/>
      <c r="F106" s="146"/>
      <c r="G106" s="146"/>
      <c r="H106" s="146"/>
      <c r="I106" s="146"/>
      <c r="J106" s="486">
        <f t="shared" ref="J106:J111" si="29">SUM(C106:I106)</f>
        <v>0</v>
      </c>
    </row>
    <row r="107" spans="1:10">
      <c r="A107" s="880">
        <f t="shared" ref="A107:A112" si="30">A106+1</f>
        <v>68</v>
      </c>
      <c r="B107" s="846" t="s">
        <v>343</v>
      </c>
      <c r="C107" s="146"/>
      <c r="D107" s="146"/>
      <c r="E107" s="146"/>
      <c r="F107" s="146"/>
      <c r="G107" s="146"/>
      <c r="H107" s="146"/>
      <c r="I107" s="146"/>
      <c r="J107" s="486">
        <f t="shared" si="29"/>
        <v>0</v>
      </c>
    </row>
    <row r="108" spans="1:10">
      <c r="A108" s="880">
        <f t="shared" si="30"/>
        <v>69</v>
      </c>
      <c r="B108" s="846" t="s">
        <v>344</v>
      </c>
      <c r="C108" s="146"/>
      <c r="D108" s="146"/>
      <c r="E108" s="146"/>
      <c r="F108" s="146"/>
      <c r="G108" s="146"/>
      <c r="H108" s="146"/>
      <c r="I108" s="146"/>
      <c r="J108" s="486">
        <f t="shared" si="29"/>
        <v>0</v>
      </c>
    </row>
    <row r="109" spans="1:10">
      <c r="A109" s="880">
        <f t="shared" si="30"/>
        <v>70</v>
      </c>
      <c r="B109" s="846" t="s">
        <v>345</v>
      </c>
      <c r="C109" s="849"/>
      <c r="D109" s="849"/>
      <c r="E109" s="849"/>
      <c r="F109" s="849"/>
      <c r="G109" s="849"/>
      <c r="H109" s="849"/>
      <c r="I109" s="849"/>
      <c r="J109" s="829">
        <f t="shared" si="29"/>
        <v>0</v>
      </c>
    </row>
    <row r="110" spans="1:10">
      <c r="A110" s="880">
        <f t="shared" si="30"/>
        <v>71</v>
      </c>
      <c r="B110" s="846" t="s">
        <v>346</v>
      </c>
      <c r="C110" s="849"/>
      <c r="D110" s="849"/>
      <c r="E110" s="849"/>
      <c r="F110" s="849"/>
      <c r="G110" s="849"/>
      <c r="H110" s="849"/>
      <c r="I110" s="849"/>
      <c r="J110" s="829">
        <f t="shared" si="29"/>
        <v>0</v>
      </c>
    </row>
    <row r="111" spans="1:10">
      <c r="A111" s="880">
        <f t="shared" si="30"/>
        <v>72</v>
      </c>
      <c r="B111" s="885" t="s">
        <v>525</v>
      </c>
      <c r="C111" s="147"/>
      <c r="D111" s="147"/>
      <c r="E111" s="147"/>
      <c r="F111" s="147"/>
      <c r="G111" s="147"/>
      <c r="H111" s="147"/>
      <c r="I111" s="147"/>
      <c r="J111" s="882">
        <f t="shared" si="29"/>
        <v>0</v>
      </c>
    </row>
    <row r="112" spans="1:10">
      <c r="A112" s="880">
        <f t="shared" si="30"/>
        <v>73</v>
      </c>
      <c r="B112" s="886" t="s">
        <v>70</v>
      </c>
      <c r="C112" s="887">
        <f t="shared" ref="C112:J112" si="31">C106+C107+C108-C109-C110-C111</f>
        <v>0</v>
      </c>
      <c r="D112" s="887"/>
      <c r="E112" s="887">
        <f t="shared" si="31"/>
        <v>0</v>
      </c>
      <c r="F112" s="887">
        <f t="shared" si="31"/>
        <v>0</v>
      </c>
      <c r="G112" s="887">
        <f t="shared" si="31"/>
        <v>0</v>
      </c>
      <c r="H112" s="887">
        <f t="shared" si="31"/>
        <v>0</v>
      </c>
      <c r="I112" s="887">
        <f t="shared" si="31"/>
        <v>0</v>
      </c>
      <c r="J112" s="887">
        <f t="shared" si="31"/>
        <v>0</v>
      </c>
    </row>
    <row r="114" spans="1:10" ht="15">
      <c r="A114" s="842" t="s">
        <v>526</v>
      </c>
      <c r="B114" s="888"/>
      <c r="C114" s="888"/>
      <c r="D114" s="888"/>
      <c r="E114" s="888"/>
    </row>
    <row r="115" spans="1:10">
      <c r="A115" s="880">
        <f>A112+1</f>
        <v>74</v>
      </c>
      <c r="B115" s="845" t="s">
        <v>527</v>
      </c>
      <c r="C115" s="850"/>
      <c r="D115" s="909"/>
      <c r="E115" s="910"/>
      <c r="F115" s="909"/>
      <c r="G115" s="909"/>
      <c r="H115" s="850"/>
      <c r="I115" s="909"/>
      <c r="J115" s="889"/>
    </row>
    <row r="116" spans="1:10">
      <c r="A116" s="880">
        <f>A115+1</f>
        <v>75</v>
      </c>
      <c r="B116" s="845" t="s">
        <v>528</v>
      </c>
      <c r="C116" s="851"/>
      <c r="D116" s="911"/>
      <c r="E116" s="851"/>
      <c r="F116" s="911"/>
      <c r="G116" s="911"/>
      <c r="H116" s="851"/>
      <c r="I116" s="911"/>
      <c r="J116" s="890"/>
    </row>
    <row r="117" spans="1:10">
      <c r="A117" s="880">
        <f>A116+1</f>
        <v>76</v>
      </c>
      <c r="B117" s="845" t="s">
        <v>529</v>
      </c>
      <c r="C117" s="146"/>
      <c r="D117" s="912"/>
      <c r="E117" s="146"/>
      <c r="F117" s="912"/>
      <c r="G117" s="912"/>
      <c r="H117" s="146"/>
      <c r="I117" s="912"/>
    </row>
    <row r="118" spans="1:10">
      <c r="A118" s="880">
        <f>A117+1</f>
        <v>77</v>
      </c>
      <c r="B118" s="845" t="str">
        <f>"Monetary Value (Ln "&amp;A116&amp;" * Ln "&amp;A117&amp;")"</f>
        <v>Monetary Value (Ln 75 * Ln 76)</v>
      </c>
      <c r="C118" s="485">
        <f t="shared" ref="C118:I118" si="32">C116*C117</f>
        <v>0</v>
      </c>
      <c r="D118" s="485"/>
      <c r="E118" s="485">
        <f t="shared" si="32"/>
        <v>0</v>
      </c>
      <c r="F118" s="485">
        <f t="shared" si="32"/>
        <v>0</v>
      </c>
      <c r="G118" s="485">
        <f t="shared" si="32"/>
        <v>0</v>
      </c>
      <c r="H118" s="485">
        <f t="shared" si="32"/>
        <v>0</v>
      </c>
      <c r="I118" s="485">
        <f t="shared" si="32"/>
        <v>0</v>
      </c>
      <c r="J118" s="887">
        <f>SUM(C118:I118)</f>
        <v>0</v>
      </c>
    </row>
    <row r="119" spans="1:10">
      <c r="A119" s="880">
        <f>A118+1</f>
        <v>78</v>
      </c>
      <c r="B119" s="845" t="str">
        <f>"Dividend Amount (Ln "&amp;A115&amp;" * Ln "&amp;A118&amp;")"</f>
        <v>Dividend Amount (Ln 74 * Ln 77)</v>
      </c>
      <c r="C119" s="485">
        <f t="shared" ref="C119:I119" si="33">C118*C115</f>
        <v>0</v>
      </c>
      <c r="D119" s="485"/>
      <c r="E119" s="485">
        <f t="shared" si="33"/>
        <v>0</v>
      </c>
      <c r="F119" s="485">
        <f t="shared" si="33"/>
        <v>0</v>
      </c>
      <c r="G119" s="485">
        <f t="shared" si="33"/>
        <v>0</v>
      </c>
      <c r="H119" s="485">
        <f t="shared" si="33"/>
        <v>0</v>
      </c>
      <c r="I119" s="485">
        <f t="shared" si="33"/>
        <v>0</v>
      </c>
      <c r="J119" s="887">
        <f>SUM(C119:I119)</f>
        <v>0</v>
      </c>
    </row>
    <row r="121" spans="1:10">
      <c r="A121" s="880">
        <f>A119+1</f>
        <v>79</v>
      </c>
      <c r="B121" s="845" t="s">
        <v>527</v>
      </c>
      <c r="C121" s="850"/>
      <c r="D121" s="909"/>
      <c r="E121" s="910"/>
      <c r="F121" s="909"/>
      <c r="G121" s="909"/>
      <c r="H121" s="850"/>
      <c r="I121" s="909"/>
    </row>
    <row r="122" spans="1:10">
      <c r="A122" s="880">
        <f>A121+1</f>
        <v>80</v>
      </c>
      <c r="B122" s="845" t="s">
        <v>528</v>
      </c>
      <c r="C122" s="851"/>
      <c r="D122" s="911"/>
      <c r="E122" s="851"/>
      <c r="F122" s="911"/>
      <c r="G122" s="911"/>
      <c r="H122" s="851"/>
      <c r="I122" s="911"/>
    </row>
    <row r="123" spans="1:10">
      <c r="A123" s="880">
        <f>A122+1</f>
        <v>81</v>
      </c>
      <c r="B123" s="845" t="s">
        <v>529</v>
      </c>
      <c r="C123" s="146"/>
      <c r="D123" s="912"/>
      <c r="E123" s="146"/>
      <c r="F123" s="912"/>
      <c r="G123" s="912"/>
      <c r="H123" s="146"/>
      <c r="I123" s="912"/>
    </row>
    <row r="124" spans="1:10">
      <c r="A124" s="880">
        <f>A123+1</f>
        <v>82</v>
      </c>
      <c r="B124" s="845" t="str">
        <f>"Monetary Value (Ln "&amp;A122&amp;" * Ln "&amp;A123&amp;")"</f>
        <v>Monetary Value (Ln 80 * Ln 81)</v>
      </c>
      <c r="C124" s="485">
        <f t="shared" ref="C124:I124" si="34">C122*C123</f>
        <v>0</v>
      </c>
      <c r="D124" s="485"/>
      <c r="E124" s="485">
        <f t="shared" si="34"/>
        <v>0</v>
      </c>
      <c r="F124" s="485">
        <f t="shared" si="34"/>
        <v>0</v>
      </c>
      <c r="G124" s="485">
        <f t="shared" si="34"/>
        <v>0</v>
      </c>
      <c r="H124" s="485">
        <f t="shared" si="34"/>
        <v>0</v>
      </c>
      <c r="I124" s="485">
        <f t="shared" si="34"/>
        <v>0</v>
      </c>
      <c r="J124" s="887">
        <f>SUM(C124:I124)</f>
        <v>0</v>
      </c>
    </row>
    <row r="125" spans="1:10">
      <c r="A125" s="880">
        <f>A124+1</f>
        <v>83</v>
      </c>
      <c r="B125" s="845" t="str">
        <f>"Dividend Amount (Ln "&amp;A121&amp;" * Ln "&amp;A124&amp;")"</f>
        <v>Dividend Amount (Ln 79 * Ln 82)</v>
      </c>
      <c r="C125" s="485">
        <f t="shared" ref="C125:I125" si="35">C124*C121</f>
        <v>0</v>
      </c>
      <c r="D125" s="485"/>
      <c r="E125" s="485">
        <f t="shared" si="35"/>
        <v>0</v>
      </c>
      <c r="F125" s="485">
        <f t="shared" si="35"/>
        <v>0</v>
      </c>
      <c r="G125" s="485">
        <f t="shared" si="35"/>
        <v>0</v>
      </c>
      <c r="H125" s="485">
        <f t="shared" si="35"/>
        <v>0</v>
      </c>
      <c r="I125" s="485">
        <f t="shared" si="35"/>
        <v>0</v>
      </c>
      <c r="J125" s="887">
        <f>SUM(C125:I125)</f>
        <v>0</v>
      </c>
    </row>
    <row r="127" spans="1:10">
      <c r="A127" s="880">
        <f>A125+1</f>
        <v>84</v>
      </c>
      <c r="B127" s="845" t="s">
        <v>527</v>
      </c>
      <c r="C127" s="850"/>
      <c r="D127" s="909"/>
      <c r="E127" s="910"/>
      <c r="F127" s="909"/>
      <c r="G127" s="909"/>
      <c r="H127" s="850"/>
      <c r="I127" s="909"/>
    </row>
    <row r="128" spans="1:10">
      <c r="A128" s="880">
        <f>A127+1</f>
        <v>85</v>
      </c>
      <c r="B128" s="845" t="s">
        <v>528</v>
      </c>
      <c r="C128" s="851"/>
      <c r="D128" s="911"/>
      <c r="E128" s="851"/>
      <c r="F128" s="911"/>
      <c r="G128" s="911"/>
      <c r="H128" s="851"/>
      <c r="I128" s="911"/>
    </row>
    <row r="129" spans="1:10">
      <c r="A129" s="880">
        <f>A128+1</f>
        <v>86</v>
      </c>
      <c r="B129" s="845" t="s">
        <v>529</v>
      </c>
      <c r="C129" s="146"/>
      <c r="D129" s="912"/>
      <c r="E129" s="146"/>
      <c r="F129" s="912"/>
      <c r="G129" s="912"/>
      <c r="H129" s="146"/>
      <c r="I129" s="912"/>
    </row>
    <row r="130" spans="1:10">
      <c r="A130" s="880">
        <f>A129+1</f>
        <v>87</v>
      </c>
      <c r="B130" s="845" t="str">
        <f>"Monetary Value (Ln "&amp;A128&amp;" * Ln "&amp;A129&amp;")"</f>
        <v>Monetary Value (Ln 85 * Ln 86)</v>
      </c>
      <c r="C130" s="485">
        <f t="shared" ref="C130:I130" si="36">C128*C129</f>
        <v>0</v>
      </c>
      <c r="D130" s="485"/>
      <c r="E130" s="485">
        <f t="shared" si="36"/>
        <v>0</v>
      </c>
      <c r="F130" s="485">
        <f t="shared" si="36"/>
        <v>0</v>
      </c>
      <c r="G130" s="485">
        <f t="shared" si="36"/>
        <v>0</v>
      </c>
      <c r="H130" s="485">
        <f t="shared" si="36"/>
        <v>0</v>
      </c>
      <c r="I130" s="485">
        <f t="shared" si="36"/>
        <v>0</v>
      </c>
      <c r="J130" s="887">
        <f>SUM(C130:I130)</f>
        <v>0</v>
      </c>
    </row>
    <row r="131" spans="1:10">
      <c r="A131" s="880">
        <f>A130+1</f>
        <v>88</v>
      </c>
      <c r="B131" s="845" t="str">
        <f>"Dividend Amount (Ln "&amp;A127&amp;" * Ln "&amp;A130&amp;")"</f>
        <v>Dividend Amount (Ln 84 * Ln 87)</v>
      </c>
      <c r="C131" s="485">
        <f t="shared" ref="C131:I131" si="37">C130*C127</f>
        <v>0</v>
      </c>
      <c r="D131" s="485"/>
      <c r="E131" s="485">
        <f t="shared" si="37"/>
        <v>0</v>
      </c>
      <c r="F131" s="485">
        <f t="shared" si="37"/>
        <v>0</v>
      </c>
      <c r="G131" s="485">
        <f t="shared" si="37"/>
        <v>0</v>
      </c>
      <c r="H131" s="485">
        <f t="shared" si="37"/>
        <v>0</v>
      </c>
      <c r="I131" s="485">
        <f t="shared" si="37"/>
        <v>0</v>
      </c>
      <c r="J131" s="887">
        <f>SUM(C131:I131)</f>
        <v>0</v>
      </c>
    </row>
    <row r="133" spans="1:10">
      <c r="A133" s="880">
        <f>A131+1</f>
        <v>89</v>
      </c>
      <c r="B133" s="845" t="s">
        <v>527</v>
      </c>
      <c r="C133" s="850"/>
      <c r="D133" s="909"/>
      <c r="E133" s="910"/>
      <c r="F133" s="909"/>
      <c r="G133" s="909"/>
      <c r="H133" s="850"/>
      <c r="I133" s="909"/>
    </row>
    <row r="134" spans="1:10">
      <c r="A134" s="880">
        <f>A133+1</f>
        <v>90</v>
      </c>
      <c r="B134" s="845" t="s">
        <v>528</v>
      </c>
      <c r="C134" s="851"/>
      <c r="D134" s="911"/>
      <c r="E134" s="851"/>
      <c r="F134" s="911"/>
      <c r="G134" s="911"/>
      <c r="H134" s="851"/>
      <c r="I134" s="911"/>
    </row>
    <row r="135" spans="1:10">
      <c r="A135" s="880">
        <f>A134+1</f>
        <v>91</v>
      </c>
      <c r="B135" s="845" t="s">
        <v>529</v>
      </c>
      <c r="C135" s="146"/>
      <c r="D135" s="912"/>
      <c r="E135" s="146"/>
      <c r="F135" s="912"/>
      <c r="G135" s="912"/>
      <c r="H135" s="146"/>
      <c r="I135" s="912"/>
    </row>
    <row r="136" spans="1:10">
      <c r="A136" s="880">
        <f>A135+1</f>
        <v>92</v>
      </c>
      <c r="B136" s="845" t="str">
        <f>"Monetary Value (Ln "&amp;A134&amp;" * Ln "&amp;A135&amp;")"</f>
        <v>Monetary Value (Ln 90 * Ln 91)</v>
      </c>
      <c r="C136" s="485">
        <f t="shared" ref="C136:I136" si="38">C134*C135</f>
        <v>0</v>
      </c>
      <c r="D136" s="485"/>
      <c r="E136" s="485">
        <f t="shared" si="38"/>
        <v>0</v>
      </c>
      <c r="F136" s="485">
        <f t="shared" si="38"/>
        <v>0</v>
      </c>
      <c r="G136" s="485">
        <f t="shared" si="38"/>
        <v>0</v>
      </c>
      <c r="H136" s="485">
        <f t="shared" si="38"/>
        <v>0</v>
      </c>
      <c r="I136" s="485">
        <f t="shared" si="38"/>
        <v>0</v>
      </c>
      <c r="J136" s="887">
        <f>SUM(C136:I136)</f>
        <v>0</v>
      </c>
    </row>
    <row r="137" spans="1:10">
      <c r="A137" s="880">
        <f>A136+1</f>
        <v>93</v>
      </c>
      <c r="B137" s="845" t="str">
        <f>"Dividend Amount (Ln "&amp;A133&amp;" * Ln "&amp;A136&amp;")"</f>
        <v>Dividend Amount (Ln 89 * Ln 92)</v>
      </c>
      <c r="C137" s="485">
        <f t="shared" ref="C137:I137" si="39">C136*C133</f>
        <v>0</v>
      </c>
      <c r="D137" s="485"/>
      <c r="E137" s="485">
        <f t="shared" si="39"/>
        <v>0</v>
      </c>
      <c r="F137" s="485">
        <f t="shared" si="39"/>
        <v>0</v>
      </c>
      <c r="G137" s="485">
        <f t="shared" si="39"/>
        <v>0</v>
      </c>
      <c r="H137" s="485">
        <f t="shared" si="39"/>
        <v>0</v>
      </c>
      <c r="I137" s="485">
        <f t="shared" si="39"/>
        <v>0</v>
      </c>
      <c r="J137" s="887">
        <f>SUM(C137:I137)</f>
        <v>0</v>
      </c>
    </row>
    <row r="138" spans="1:10">
      <c r="B138" s="845"/>
    </row>
    <row r="139" spans="1:10">
      <c r="A139" s="880">
        <f>A137+1</f>
        <v>94</v>
      </c>
      <c r="B139" s="843" t="str">
        <f>"Preferred Stock (Lns "&amp;A118&amp;", "&amp;A124&amp;", "&amp;A130&amp;","&amp;A136&amp;")"</f>
        <v>Preferred Stock (Lns 77, 82, 87,92)</v>
      </c>
      <c r="C139" s="887">
        <f t="shared" ref="C139:I140" si="40">C118+C124+C130+C136</f>
        <v>0</v>
      </c>
      <c r="D139" s="887"/>
      <c r="E139" s="887">
        <f t="shared" si="40"/>
        <v>0</v>
      </c>
      <c r="F139" s="887">
        <f t="shared" si="40"/>
        <v>0</v>
      </c>
      <c r="G139" s="887">
        <f t="shared" si="40"/>
        <v>0</v>
      </c>
      <c r="H139" s="887">
        <f t="shared" si="40"/>
        <v>0</v>
      </c>
      <c r="I139" s="887">
        <f t="shared" si="40"/>
        <v>0</v>
      </c>
      <c r="J139" s="887">
        <f>SUM(C139:I139)</f>
        <v>0</v>
      </c>
    </row>
    <row r="140" spans="1:10">
      <c r="A140" s="880">
        <f>A139+1</f>
        <v>95</v>
      </c>
      <c r="B140" s="843" t="str">
        <f>"Preferred Dividends (Lns "&amp;A119&amp;", "&amp;A125&amp;", "&amp;A131&amp;","&amp;A137&amp;")"</f>
        <v>Preferred Dividends (Lns 78, 83, 88,93)</v>
      </c>
      <c r="C140" s="887">
        <f t="shared" si="40"/>
        <v>0</v>
      </c>
      <c r="D140" s="887"/>
      <c r="E140" s="887">
        <f t="shared" si="40"/>
        <v>0</v>
      </c>
      <c r="F140" s="887">
        <f t="shared" si="40"/>
        <v>0</v>
      </c>
      <c r="G140" s="887">
        <f t="shared" si="40"/>
        <v>0</v>
      </c>
      <c r="H140" s="887">
        <f t="shared" si="40"/>
        <v>0</v>
      </c>
      <c r="I140" s="887">
        <f t="shared" si="40"/>
        <v>0</v>
      </c>
      <c r="J140" s="887">
        <f>SUM(C140:I140)</f>
        <v>0</v>
      </c>
    </row>
    <row r="141" spans="1:10">
      <c r="B141" s="891"/>
    </row>
    <row r="142" spans="1:10" ht="15">
      <c r="A142" s="842" t="s">
        <v>530</v>
      </c>
    </row>
    <row r="143" spans="1:10">
      <c r="A143" s="880">
        <f>A140+1</f>
        <v>96</v>
      </c>
      <c r="B143" s="661" t="s">
        <v>531</v>
      </c>
      <c r="C143" s="146"/>
      <c r="D143" s="146"/>
      <c r="E143" s="146"/>
      <c r="F143" s="146"/>
      <c r="G143" s="146"/>
      <c r="H143" s="146"/>
      <c r="I143" s="146"/>
      <c r="J143" s="887">
        <f>SUM(C143:I143)</f>
        <v>0</v>
      </c>
    </row>
    <row r="144" spans="1:10">
      <c r="A144" s="880">
        <f>A143+1</f>
        <v>97</v>
      </c>
      <c r="B144" s="661" t="str">
        <f>"Less: Preferred Stock (Ln "&amp;A139&amp;" Above)"</f>
        <v>Less: Preferred Stock (Ln 94 Above)</v>
      </c>
      <c r="C144" s="486">
        <f>C139</f>
        <v>0</v>
      </c>
      <c r="D144" s="486"/>
      <c r="E144" s="486">
        <f>E139</f>
        <v>0</v>
      </c>
      <c r="F144" s="486">
        <f>F139</f>
        <v>0</v>
      </c>
      <c r="G144" s="486">
        <f>G139</f>
        <v>0</v>
      </c>
      <c r="H144" s="486">
        <f>H139</f>
        <v>0</v>
      </c>
      <c r="I144" s="486">
        <f>I139</f>
        <v>0</v>
      </c>
      <c r="J144" s="887">
        <f>SUM(C144:I144)</f>
        <v>0</v>
      </c>
    </row>
    <row r="145" spans="1:10">
      <c r="A145" s="880">
        <f>A144+1</f>
        <v>98</v>
      </c>
      <c r="B145" s="661" t="s">
        <v>532</v>
      </c>
      <c r="C145" s="849"/>
      <c r="D145" s="849"/>
      <c r="E145" s="849"/>
      <c r="F145" s="849"/>
      <c r="G145" s="849"/>
      <c r="H145" s="849"/>
      <c r="I145" s="849"/>
      <c r="J145" s="887">
        <f>SUM(C145:I145)</f>
        <v>0</v>
      </c>
    </row>
    <row r="146" spans="1:10">
      <c r="A146" s="880">
        <f>A145+1</f>
        <v>99</v>
      </c>
      <c r="B146" s="661" t="s">
        <v>533</v>
      </c>
      <c r="C146" s="147"/>
      <c r="D146" s="147"/>
      <c r="E146" s="147"/>
      <c r="F146" s="147"/>
      <c r="G146" s="147"/>
      <c r="H146" s="147"/>
      <c r="I146" s="147"/>
      <c r="J146" s="892">
        <f>SUM(C146:I146)</f>
        <v>0</v>
      </c>
    </row>
    <row r="147" spans="1:10">
      <c r="A147" s="880">
        <f>A146+1</f>
        <v>100</v>
      </c>
      <c r="B147" s="844" t="s">
        <v>534</v>
      </c>
      <c r="C147" s="829">
        <f t="shared" ref="C147:J147" si="41">C143-C144-C145-C146</f>
        <v>0</v>
      </c>
      <c r="D147" s="829"/>
      <c r="E147" s="829">
        <f t="shared" si="41"/>
        <v>0</v>
      </c>
      <c r="F147" s="829">
        <f t="shared" si="41"/>
        <v>0</v>
      </c>
      <c r="G147" s="829">
        <f t="shared" si="41"/>
        <v>0</v>
      </c>
      <c r="H147" s="829">
        <f t="shared" si="41"/>
        <v>0</v>
      </c>
      <c r="I147" s="829">
        <f t="shared" si="41"/>
        <v>0</v>
      </c>
      <c r="J147" s="829">
        <f t="shared" si="41"/>
        <v>0</v>
      </c>
    </row>
    <row r="149" spans="1:10" ht="15">
      <c r="A149" s="842" t="s">
        <v>535</v>
      </c>
    </row>
    <row r="150" spans="1:10">
      <c r="A150" s="880">
        <f>A147+1</f>
        <v>101</v>
      </c>
      <c r="B150" s="465" t="str">
        <f>"Long Term Debt (Ln "&amp;A101&amp;" Above)"</f>
        <v>Long Term Debt (Ln 65 Above)</v>
      </c>
      <c r="C150" s="887">
        <f t="shared" ref="C150:J150" si="42">C101</f>
        <v>0</v>
      </c>
      <c r="D150" s="887"/>
      <c r="E150" s="887">
        <f t="shared" si="42"/>
        <v>0</v>
      </c>
      <c r="F150" s="887">
        <f t="shared" si="42"/>
        <v>0</v>
      </c>
      <c r="G150" s="887">
        <f t="shared" si="42"/>
        <v>0</v>
      </c>
      <c r="H150" s="887">
        <f t="shared" si="42"/>
        <v>0</v>
      </c>
      <c r="I150" s="887">
        <f t="shared" si="42"/>
        <v>0</v>
      </c>
      <c r="J150" s="887">
        <f t="shared" si="42"/>
        <v>0</v>
      </c>
    </row>
    <row r="151" spans="1:10">
      <c r="A151" s="880">
        <f>A150+1</f>
        <v>102</v>
      </c>
      <c r="B151" s="465" t="str">
        <f>"Preferred Stock (Ln "&amp;A139&amp;" Above)"</f>
        <v>Preferred Stock (Ln 94 Above)</v>
      </c>
      <c r="C151" s="887">
        <f t="shared" ref="C151:J151" si="43">C139</f>
        <v>0</v>
      </c>
      <c r="D151" s="887"/>
      <c r="E151" s="887">
        <f t="shared" si="43"/>
        <v>0</v>
      </c>
      <c r="F151" s="887">
        <f t="shared" si="43"/>
        <v>0</v>
      </c>
      <c r="G151" s="887">
        <f t="shared" si="43"/>
        <v>0</v>
      </c>
      <c r="H151" s="887">
        <f t="shared" si="43"/>
        <v>0</v>
      </c>
      <c r="I151" s="887">
        <f t="shared" si="43"/>
        <v>0</v>
      </c>
      <c r="J151" s="887">
        <f t="shared" si="43"/>
        <v>0</v>
      </c>
    </row>
    <row r="152" spans="1:10">
      <c r="A152" s="880">
        <f>A151+1</f>
        <v>103</v>
      </c>
      <c r="B152" s="465" t="str">
        <f>"Common Equity (Ln "&amp;A147&amp;" Above)"</f>
        <v>Common Equity (Ln 100 Above)</v>
      </c>
      <c r="C152" s="892">
        <f t="shared" ref="C152:J152" si="44">C147</f>
        <v>0</v>
      </c>
      <c r="D152" s="892"/>
      <c r="E152" s="892">
        <f t="shared" si="44"/>
        <v>0</v>
      </c>
      <c r="F152" s="892">
        <f t="shared" si="44"/>
        <v>0</v>
      </c>
      <c r="G152" s="892">
        <f t="shared" si="44"/>
        <v>0</v>
      </c>
      <c r="H152" s="892">
        <f t="shared" si="44"/>
        <v>0</v>
      </c>
      <c r="I152" s="892">
        <f t="shared" si="44"/>
        <v>0</v>
      </c>
      <c r="J152" s="892">
        <f t="shared" si="44"/>
        <v>0</v>
      </c>
    </row>
    <row r="153" spans="1:10">
      <c r="A153" s="880">
        <f>A152+1</f>
        <v>104</v>
      </c>
      <c r="B153" s="880" t="s">
        <v>536</v>
      </c>
      <c r="C153" s="887">
        <f t="shared" ref="C153:J153" si="45">SUM(C150:C152)</f>
        <v>0</v>
      </c>
      <c r="D153" s="887"/>
      <c r="E153" s="887">
        <f t="shared" si="45"/>
        <v>0</v>
      </c>
      <c r="F153" s="887">
        <f t="shared" si="45"/>
        <v>0</v>
      </c>
      <c r="G153" s="887">
        <f t="shared" si="45"/>
        <v>0</v>
      </c>
      <c r="H153" s="887">
        <f t="shared" si="45"/>
        <v>0</v>
      </c>
      <c r="I153" s="887">
        <f t="shared" si="45"/>
        <v>0</v>
      </c>
      <c r="J153" s="887">
        <f t="shared" si="45"/>
        <v>0</v>
      </c>
    </row>
    <row r="155" spans="1:10">
      <c r="A155" s="880">
        <f>A153+1</f>
        <v>105</v>
      </c>
      <c r="B155" s="465" t="str">
        <f>"LTD Capital Shares (Ln "&amp;A150&amp;" / Ln "&amp;A153&amp;")"</f>
        <v>LTD Capital Shares (Ln 101 / Ln 104)</v>
      </c>
      <c r="C155" s="893" t="e">
        <f t="shared" ref="C155:J155" si="46">C150/C153</f>
        <v>#DIV/0!</v>
      </c>
      <c r="D155" s="893"/>
      <c r="E155" s="893" t="e">
        <f t="shared" si="46"/>
        <v>#DIV/0!</v>
      </c>
      <c r="F155" s="893" t="e">
        <f t="shared" si="46"/>
        <v>#DIV/0!</v>
      </c>
      <c r="G155" s="893" t="e">
        <f t="shared" si="46"/>
        <v>#DIV/0!</v>
      </c>
      <c r="H155" s="893" t="e">
        <f t="shared" si="46"/>
        <v>#DIV/0!</v>
      </c>
      <c r="I155" s="893" t="e">
        <f t="shared" si="46"/>
        <v>#DIV/0!</v>
      </c>
      <c r="J155" s="893" t="e">
        <f t="shared" si="46"/>
        <v>#DIV/0!</v>
      </c>
    </row>
    <row r="156" spans="1:10">
      <c r="A156" s="880">
        <f>A155+1</f>
        <v>106</v>
      </c>
      <c r="B156" s="465" t="str">
        <f>"Preferred Stock Capital Shares (Ln "&amp;A151&amp;" / Ln "&amp;A153&amp;")"</f>
        <v>Preferred Stock Capital Shares (Ln 102 / Ln 104)</v>
      </c>
      <c r="C156" s="893" t="e">
        <f t="shared" ref="C156:J156" si="47">C151/C153</f>
        <v>#DIV/0!</v>
      </c>
      <c r="D156" s="893"/>
      <c r="E156" s="893" t="e">
        <f t="shared" si="47"/>
        <v>#DIV/0!</v>
      </c>
      <c r="F156" s="893" t="e">
        <f t="shared" si="47"/>
        <v>#DIV/0!</v>
      </c>
      <c r="G156" s="893" t="e">
        <f t="shared" si="47"/>
        <v>#DIV/0!</v>
      </c>
      <c r="H156" s="893" t="e">
        <f t="shared" si="47"/>
        <v>#DIV/0!</v>
      </c>
      <c r="I156" s="893" t="e">
        <f t="shared" si="47"/>
        <v>#DIV/0!</v>
      </c>
      <c r="J156" s="893" t="e">
        <f t="shared" si="47"/>
        <v>#DIV/0!</v>
      </c>
    </row>
    <row r="157" spans="1:10">
      <c r="A157" s="894">
        <f>A156+1</f>
        <v>107</v>
      </c>
      <c r="B157" s="465" t="str">
        <f>"Common Equity Capital Shares (Ln "&amp;A152&amp;" / Ln "&amp;A153&amp;")"</f>
        <v>Common Equity Capital Shares (Ln 103 / Ln 104)</v>
      </c>
      <c r="C157" s="895" t="e">
        <f t="shared" ref="C157:J157" si="48">C152/C153</f>
        <v>#DIV/0!</v>
      </c>
      <c r="D157" s="895"/>
      <c r="E157" s="895" t="e">
        <f t="shared" si="48"/>
        <v>#DIV/0!</v>
      </c>
      <c r="F157" s="895" t="e">
        <f t="shared" si="48"/>
        <v>#DIV/0!</v>
      </c>
      <c r="G157" s="895" t="e">
        <f t="shared" si="48"/>
        <v>#DIV/0!</v>
      </c>
      <c r="H157" s="895" t="e">
        <f t="shared" si="48"/>
        <v>#DIV/0!</v>
      </c>
      <c r="I157" s="895" t="e">
        <f t="shared" si="48"/>
        <v>#DIV/0!</v>
      </c>
      <c r="J157" s="895" t="e">
        <f t="shared" si="48"/>
        <v>#DIV/0!</v>
      </c>
    </row>
    <row r="158" spans="1:10">
      <c r="A158" s="894"/>
      <c r="B158" s="465"/>
      <c r="C158" s="895"/>
      <c r="D158" s="895"/>
      <c r="E158" s="895"/>
      <c r="F158" s="895"/>
      <c r="G158" s="895"/>
      <c r="H158" s="895"/>
      <c r="I158" s="895"/>
      <c r="J158" s="895"/>
    </row>
    <row r="159" spans="1:10">
      <c r="A159" s="894">
        <f>A157+1</f>
        <v>108</v>
      </c>
      <c r="B159" s="843" t="s">
        <v>566</v>
      </c>
      <c r="C159" s="896"/>
      <c r="D159" s="896"/>
      <c r="E159" s="896"/>
      <c r="F159" s="896"/>
      <c r="G159" s="896"/>
      <c r="H159" s="896"/>
      <c r="I159" s="896"/>
      <c r="J159" s="896"/>
    </row>
    <row r="160" spans="1:10">
      <c r="A160" s="894"/>
      <c r="B160" s="465"/>
      <c r="C160" s="895"/>
      <c r="D160" s="895"/>
      <c r="E160" s="895"/>
      <c r="F160" s="895"/>
      <c r="G160" s="895"/>
      <c r="H160" s="895"/>
      <c r="I160" s="895"/>
      <c r="J160" s="895"/>
    </row>
    <row r="161" spans="1:10">
      <c r="A161" s="894">
        <f>A159+1</f>
        <v>109</v>
      </c>
      <c r="B161" s="843" t="s">
        <v>566</v>
      </c>
      <c r="C161" s="895"/>
      <c r="D161" s="895"/>
      <c r="E161" s="895"/>
      <c r="F161" s="895"/>
      <c r="G161" s="895"/>
      <c r="H161" s="895"/>
      <c r="I161" s="895"/>
      <c r="J161" s="895"/>
    </row>
    <row r="162" spans="1:10">
      <c r="A162" s="894">
        <f>A161+1</f>
        <v>110</v>
      </c>
      <c r="B162" s="843" t="s">
        <v>566</v>
      </c>
      <c r="C162" s="895"/>
      <c r="D162" s="895"/>
      <c r="E162" s="895"/>
      <c r="F162" s="895"/>
      <c r="G162" s="895"/>
      <c r="H162" s="895"/>
      <c r="I162" s="895"/>
      <c r="J162" s="895"/>
    </row>
    <row r="163" spans="1:10">
      <c r="A163" s="894">
        <f>A162+1</f>
        <v>111</v>
      </c>
      <c r="B163" s="843" t="s">
        <v>566</v>
      </c>
      <c r="C163" s="895"/>
      <c r="D163" s="895"/>
      <c r="E163" s="895"/>
      <c r="F163" s="895"/>
      <c r="G163" s="895"/>
      <c r="H163" s="895"/>
      <c r="I163" s="895"/>
      <c r="J163" s="895"/>
    </row>
    <row r="164" spans="1:10">
      <c r="B164" s="465"/>
      <c r="C164" s="893"/>
      <c r="D164" s="893"/>
      <c r="E164" s="893"/>
      <c r="F164" s="893"/>
      <c r="G164" s="893"/>
      <c r="H164" s="893"/>
      <c r="I164" s="893"/>
      <c r="J164" s="893"/>
    </row>
    <row r="165" spans="1:10" ht="15">
      <c r="A165" s="842" t="s">
        <v>537</v>
      </c>
    </row>
    <row r="166" spans="1:10">
      <c r="A166" s="880">
        <f>A163+1</f>
        <v>112</v>
      </c>
      <c r="B166" s="465" t="str">
        <f>"LTD Capital Cost Rate (Ln "&amp;A112&amp;" / Ln "&amp;A101&amp;")"</f>
        <v>LTD Capital Cost Rate (Ln 73 / Ln 65)</v>
      </c>
      <c r="C166" s="893" t="e">
        <f t="shared" ref="C166:J166" si="49">C112/C101</f>
        <v>#DIV/0!</v>
      </c>
      <c r="D166" s="893"/>
      <c r="E166" s="893" t="e">
        <f t="shared" si="49"/>
        <v>#DIV/0!</v>
      </c>
      <c r="F166" s="893" t="e">
        <f t="shared" si="49"/>
        <v>#DIV/0!</v>
      </c>
      <c r="G166" s="893" t="e">
        <f t="shared" si="49"/>
        <v>#DIV/0!</v>
      </c>
      <c r="H166" s="893" t="e">
        <f t="shared" si="49"/>
        <v>#DIV/0!</v>
      </c>
      <c r="I166" s="893" t="e">
        <f t="shared" si="49"/>
        <v>#DIV/0!</v>
      </c>
      <c r="J166" s="893" t="e">
        <f t="shared" si="49"/>
        <v>#DIV/0!</v>
      </c>
    </row>
    <row r="167" spans="1:10">
      <c r="A167" s="880">
        <f>A166+1</f>
        <v>113</v>
      </c>
      <c r="B167" s="465" t="str">
        <f>"Preferred Stock Capital Cost Rate (Ln "&amp;A140&amp;" / Ln "&amp;A139&amp;")"</f>
        <v>Preferred Stock Capital Cost Rate (Ln 95 / Ln 94)</v>
      </c>
      <c r="C167" s="893">
        <f t="shared" ref="C167:J167" si="50">IF(C139=0,0,C140/C139)</f>
        <v>0</v>
      </c>
      <c r="D167" s="893"/>
      <c r="E167" s="893">
        <f t="shared" si="50"/>
        <v>0</v>
      </c>
      <c r="F167" s="893">
        <f t="shared" si="50"/>
        <v>0</v>
      </c>
      <c r="G167" s="893">
        <f t="shared" si="50"/>
        <v>0</v>
      </c>
      <c r="H167" s="893">
        <f t="shared" si="50"/>
        <v>0</v>
      </c>
      <c r="I167" s="893">
        <f t="shared" si="50"/>
        <v>0</v>
      </c>
      <c r="J167" s="893">
        <f t="shared" si="50"/>
        <v>0</v>
      </c>
    </row>
    <row r="168" spans="1:10">
      <c r="A168" s="880">
        <f>A167+1</f>
        <v>114</v>
      </c>
      <c r="B168" s="465" t="s">
        <v>538</v>
      </c>
      <c r="C168" s="893">
        <v>0.1149</v>
      </c>
      <c r="D168" s="893"/>
      <c r="E168" s="893">
        <v>0.1149</v>
      </c>
      <c r="F168" s="893">
        <v>0.1149</v>
      </c>
      <c r="G168" s="893">
        <v>0.1149</v>
      </c>
      <c r="H168" s="893">
        <v>0.1149</v>
      </c>
      <c r="I168" s="893">
        <v>0.1149</v>
      </c>
      <c r="J168" s="893">
        <v>0.1149</v>
      </c>
    </row>
    <row r="170" spans="1:10" ht="15">
      <c r="A170" s="842" t="s">
        <v>539</v>
      </c>
    </row>
    <row r="171" spans="1:10">
      <c r="A171" s="880">
        <f>A168+1</f>
        <v>115</v>
      </c>
      <c r="B171" s="465" t="str">
        <f>"LTD Weighted Capital Cost Rate (Ln "&amp;A155&amp;" * Ln "&amp;A166&amp;")"</f>
        <v>LTD Weighted Capital Cost Rate (Ln 105 * Ln 112)</v>
      </c>
      <c r="C171" s="893" t="e">
        <f>C155*C166</f>
        <v>#DIV/0!</v>
      </c>
      <c r="D171" s="893"/>
      <c r="E171" s="893" t="e">
        <f t="shared" ref="E171:J171" si="51">E155*E166</f>
        <v>#DIV/0!</v>
      </c>
      <c r="F171" s="893" t="e">
        <f t="shared" si="51"/>
        <v>#DIV/0!</v>
      </c>
      <c r="G171" s="893" t="e">
        <f t="shared" si="51"/>
        <v>#DIV/0!</v>
      </c>
      <c r="H171" s="893" t="e">
        <f t="shared" si="51"/>
        <v>#DIV/0!</v>
      </c>
      <c r="I171" s="893" t="e">
        <f t="shared" si="51"/>
        <v>#DIV/0!</v>
      </c>
      <c r="J171" s="893" t="e">
        <f t="shared" si="51"/>
        <v>#DIV/0!</v>
      </c>
    </row>
    <row r="172" spans="1:10">
      <c r="A172" s="880">
        <f>A171+1</f>
        <v>116</v>
      </c>
      <c r="B172" s="465" t="str">
        <f>"Preferred Stock Capital Cost Rate (Ln "&amp;A156&amp;" * Ln "&amp;A167&amp;")"</f>
        <v>Preferred Stock Capital Cost Rate (Ln 106 * Ln 113)</v>
      </c>
      <c r="C172" s="893" t="e">
        <f>C156*C167</f>
        <v>#DIV/0!</v>
      </c>
      <c r="D172" s="893"/>
      <c r="E172" s="893" t="e">
        <f t="shared" ref="E172:J172" si="52">E156*E167</f>
        <v>#DIV/0!</v>
      </c>
      <c r="F172" s="893" t="e">
        <f t="shared" si="52"/>
        <v>#DIV/0!</v>
      </c>
      <c r="G172" s="893" t="e">
        <f t="shared" si="52"/>
        <v>#DIV/0!</v>
      </c>
      <c r="H172" s="893" t="e">
        <f t="shared" si="52"/>
        <v>#DIV/0!</v>
      </c>
      <c r="I172" s="893" t="e">
        <f t="shared" si="52"/>
        <v>#DIV/0!</v>
      </c>
      <c r="J172" s="893" t="e">
        <f t="shared" si="52"/>
        <v>#DIV/0!</v>
      </c>
    </row>
    <row r="173" spans="1:10">
      <c r="A173" s="880">
        <f>A172+1</f>
        <v>117</v>
      </c>
      <c r="B173" s="465" t="str">
        <f>"Common Equity Capital Cost Rate (Ln "&amp;A157&amp;" * Ln "&amp;A168&amp;")"</f>
        <v>Common Equity Capital Cost Rate (Ln 107 * Ln 114)</v>
      </c>
      <c r="C173" s="897" t="e">
        <f>C157*C168</f>
        <v>#DIV/0!</v>
      </c>
      <c r="D173" s="897"/>
      <c r="E173" s="897" t="e">
        <f t="shared" ref="E173:J173" si="53">E157*E168</f>
        <v>#DIV/0!</v>
      </c>
      <c r="F173" s="897" t="e">
        <f t="shared" si="53"/>
        <v>#DIV/0!</v>
      </c>
      <c r="G173" s="897" t="e">
        <f t="shared" si="53"/>
        <v>#DIV/0!</v>
      </c>
      <c r="H173" s="897" t="e">
        <f t="shared" si="53"/>
        <v>#DIV/0!</v>
      </c>
      <c r="I173" s="897" t="e">
        <f t="shared" si="53"/>
        <v>#DIV/0!</v>
      </c>
      <c r="J173" s="897" t="e">
        <f t="shared" si="53"/>
        <v>#DIV/0!</v>
      </c>
    </row>
    <row r="174" spans="1:10">
      <c r="A174" s="880">
        <f>A173+1</f>
        <v>118</v>
      </c>
      <c r="B174" s="898" t="s">
        <v>536</v>
      </c>
      <c r="C174" s="899" t="e">
        <f t="shared" ref="C174:J174" si="54">SUM(C171:C173)</f>
        <v>#DIV/0!</v>
      </c>
      <c r="D174" s="899"/>
      <c r="E174" s="899" t="e">
        <f t="shared" si="54"/>
        <v>#DIV/0!</v>
      </c>
      <c r="F174" s="899" t="e">
        <f t="shared" si="54"/>
        <v>#DIV/0!</v>
      </c>
      <c r="G174" s="899" t="e">
        <f t="shared" si="54"/>
        <v>#DIV/0!</v>
      </c>
      <c r="H174" s="899" t="e">
        <f t="shared" si="54"/>
        <v>#DIV/0!</v>
      </c>
      <c r="I174" s="899" t="e">
        <f t="shared" si="54"/>
        <v>#DIV/0!</v>
      </c>
      <c r="J174" s="899" t="e">
        <f t="shared" si="54"/>
        <v>#DIV/0!</v>
      </c>
    </row>
    <row r="177" spans="1:10">
      <c r="A177" s="1598" t="s">
        <v>515</v>
      </c>
      <c r="B177" s="1598"/>
      <c r="C177" s="1598"/>
      <c r="D177" s="1598"/>
      <c r="E177" s="1598"/>
      <c r="F177" s="1598"/>
      <c r="G177" s="1598"/>
      <c r="H177" s="1598"/>
      <c r="I177" s="1598"/>
      <c r="J177" s="1598"/>
    </row>
    <row r="178" spans="1:10">
      <c r="A178" s="1598" t="s">
        <v>540</v>
      </c>
      <c r="B178" s="1598"/>
      <c r="C178" s="1598"/>
      <c r="D178" s="1598"/>
      <c r="E178" s="1598"/>
      <c r="F178" s="1598"/>
      <c r="G178" s="1598"/>
      <c r="H178" s="1598"/>
      <c r="I178" s="1598"/>
      <c r="J178" s="1598"/>
    </row>
    <row r="179" spans="1:10">
      <c r="A179" s="1598" t="s">
        <v>260</v>
      </c>
      <c r="B179" s="1598"/>
      <c r="C179" s="1598"/>
      <c r="D179" s="1598"/>
      <c r="E179" s="1598"/>
      <c r="F179" s="1598"/>
      <c r="G179" s="1598"/>
      <c r="H179" s="1598"/>
      <c r="I179" s="1598"/>
      <c r="J179" s="1598"/>
    </row>
    <row r="181" spans="1:10" ht="76.5">
      <c r="A181" s="880" t="s">
        <v>469</v>
      </c>
      <c r="C181" s="881" t="s">
        <v>516</v>
      </c>
      <c r="D181" s="881"/>
      <c r="E181" s="881" t="s">
        <v>517</v>
      </c>
      <c r="F181" s="881" t="s">
        <v>518</v>
      </c>
      <c r="G181" s="881" t="s">
        <v>519</v>
      </c>
      <c r="H181" s="881" t="s">
        <v>520</v>
      </c>
      <c r="I181" s="881" t="s">
        <v>521</v>
      </c>
      <c r="J181" s="881" t="s">
        <v>522</v>
      </c>
    </row>
    <row r="182" spans="1:10" ht="15">
      <c r="A182" s="842" t="s">
        <v>541</v>
      </c>
    </row>
    <row r="183" spans="1:10">
      <c r="A183" s="880">
        <f>A174+1</f>
        <v>119</v>
      </c>
      <c r="B183" s="846" t="str">
        <f>"Average Bonds (Ln "&amp;A9&amp;" + Ln "&amp;A96&amp;") / 2"</f>
        <v>Average Bonds (Ln 1 + Ln 60) / 2</v>
      </c>
      <c r="C183" s="829" t="e">
        <f t="shared" ref="C183:I187" si="55">AVERAGE(C9,C96)</f>
        <v>#DIV/0!</v>
      </c>
      <c r="D183" s="829"/>
      <c r="E183" s="829" t="e">
        <f t="shared" si="55"/>
        <v>#DIV/0!</v>
      </c>
      <c r="F183" s="829" t="e">
        <f t="shared" si="55"/>
        <v>#DIV/0!</v>
      </c>
      <c r="G183" s="829" t="e">
        <f t="shared" si="55"/>
        <v>#DIV/0!</v>
      </c>
      <c r="H183" s="829" t="e">
        <f t="shared" si="55"/>
        <v>#DIV/0!</v>
      </c>
      <c r="I183" s="829" t="e">
        <f t="shared" si="55"/>
        <v>#DIV/0!</v>
      </c>
      <c r="J183" s="829" t="e">
        <f>SUM(C183:I183)</f>
        <v>#DIV/0!</v>
      </c>
    </row>
    <row r="184" spans="1:10">
      <c r="A184" s="880">
        <f>A183+1</f>
        <v>120</v>
      </c>
      <c r="B184" s="846" t="str">
        <f>"Less: Average Reacquired Bonds (Ln "&amp;A10&amp;" + Ln "&amp;A97&amp;") / 2"</f>
        <v>Less: Average Reacquired Bonds (Ln 2 + Ln 61) / 2</v>
      </c>
      <c r="C184" s="829" t="e">
        <f t="shared" si="55"/>
        <v>#DIV/0!</v>
      </c>
      <c r="D184" s="829"/>
      <c r="E184" s="829" t="e">
        <f t="shared" si="55"/>
        <v>#DIV/0!</v>
      </c>
      <c r="F184" s="829" t="e">
        <f t="shared" si="55"/>
        <v>#DIV/0!</v>
      </c>
      <c r="G184" s="829" t="e">
        <f t="shared" si="55"/>
        <v>#DIV/0!</v>
      </c>
      <c r="H184" s="829" t="e">
        <f t="shared" si="55"/>
        <v>#DIV/0!</v>
      </c>
      <c r="I184" s="829" t="e">
        <f t="shared" si="55"/>
        <v>#DIV/0!</v>
      </c>
      <c r="J184" s="829" t="e">
        <f>SUM(C184:I184)</f>
        <v>#DIV/0!</v>
      </c>
    </row>
    <row r="185" spans="1:10">
      <c r="A185" s="880">
        <f>A184+1</f>
        <v>121</v>
      </c>
      <c r="B185" s="847" t="str">
        <f>"Average LT Advances from Assoc. Companies (Ln "&amp;A11&amp;" + Ln "&amp;A98&amp;") / 2"</f>
        <v>Average LT Advances from Assoc. Companies (Ln 3 + Ln 62) / 2</v>
      </c>
      <c r="C185" s="829" t="e">
        <f t="shared" si="55"/>
        <v>#DIV/0!</v>
      </c>
      <c r="D185" s="829"/>
      <c r="E185" s="829" t="e">
        <f t="shared" si="55"/>
        <v>#DIV/0!</v>
      </c>
      <c r="F185" s="829" t="e">
        <f t="shared" si="55"/>
        <v>#DIV/0!</v>
      </c>
      <c r="G185" s="829" t="e">
        <f t="shared" si="55"/>
        <v>#DIV/0!</v>
      </c>
      <c r="H185" s="829" t="e">
        <f t="shared" si="55"/>
        <v>#DIV/0!</v>
      </c>
      <c r="I185" s="829" t="e">
        <f t="shared" si="55"/>
        <v>#DIV/0!</v>
      </c>
      <c r="J185" s="829" t="e">
        <f>SUM(C185:I185)</f>
        <v>#DIV/0!</v>
      </c>
    </row>
    <row r="186" spans="1:10">
      <c r="A186" s="880">
        <f>A185+1</f>
        <v>122</v>
      </c>
      <c r="B186" s="847" t="str">
        <f>"Average Senior Unsecured Notes (Ln "&amp;A12&amp;" + Ln "&amp;A99&amp;") / 2"</f>
        <v>Average Senior Unsecured Notes (Ln 4 + Ln 63) / 2</v>
      </c>
      <c r="C186" s="829" t="e">
        <f t="shared" si="55"/>
        <v>#DIV/0!</v>
      </c>
      <c r="D186" s="829"/>
      <c r="E186" s="829" t="e">
        <f t="shared" si="55"/>
        <v>#DIV/0!</v>
      </c>
      <c r="F186" s="829" t="e">
        <f t="shared" si="55"/>
        <v>#DIV/0!</v>
      </c>
      <c r="G186" s="829" t="e">
        <f t="shared" si="55"/>
        <v>#DIV/0!</v>
      </c>
      <c r="H186" s="829" t="e">
        <f t="shared" si="55"/>
        <v>#DIV/0!</v>
      </c>
      <c r="I186" s="829" t="e">
        <f t="shared" si="55"/>
        <v>#DIV/0!</v>
      </c>
      <c r="J186" s="829" t="e">
        <f>SUM(C186:I186)</f>
        <v>#DIV/0!</v>
      </c>
    </row>
    <row r="187" spans="1:10">
      <c r="A187" s="880">
        <f>A186+1</f>
        <v>123</v>
      </c>
      <c r="B187" s="847" t="str">
        <f>"Less: Average Fair Value Hedges (See Note on Ln "&amp;A190&amp;" below)"</f>
        <v>Less: Average Fair Value Hedges (See Note on Ln 125 below)</v>
      </c>
      <c r="C187" s="900" t="e">
        <f t="shared" si="55"/>
        <v>#DIV/0!</v>
      </c>
      <c r="D187" s="900"/>
      <c r="E187" s="900" t="e">
        <f t="shared" si="55"/>
        <v>#DIV/0!</v>
      </c>
      <c r="F187" s="900" t="e">
        <f t="shared" si="55"/>
        <v>#DIV/0!</v>
      </c>
      <c r="G187" s="900" t="e">
        <f t="shared" si="55"/>
        <v>#DIV/0!</v>
      </c>
      <c r="H187" s="900" t="e">
        <f t="shared" si="55"/>
        <v>#DIV/0!</v>
      </c>
      <c r="I187" s="900" t="e">
        <f t="shared" si="55"/>
        <v>#DIV/0!</v>
      </c>
      <c r="J187" s="882" t="e">
        <f>SUM(C187:I187)</f>
        <v>#DIV/0!</v>
      </c>
    </row>
    <row r="188" spans="1:10">
      <c r="A188" s="880">
        <f>A187+1</f>
        <v>124</v>
      </c>
      <c r="B188" s="848" t="s">
        <v>542</v>
      </c>
      <c r="C188" s="883" t="e">
        <f t="shared" ref="C188:J188" si="56">C183-C184+C185+C186-C187</f>
        <v>#DIV/0!</v>
      </c>
      <c r="D188" s="883"/>
      <c r="E188" s="883" t="e">
        <f t="shared" si="56"/>
        <v>#DIV/0!</v>
      </c>
      <c r="F188" s="883" t="e">
        <f t="shared" si="56"/>
        <v>#DIV/0!</v>
      </c>
      <c r="G188" s="883" t="e">
        <f t="shared" si="56"/>
        <v>#DIV/0!</v>
      </c>
      <c r="H188" s="883" t="e">
        <f t="shared" si="56"/>
        <v>#DIV/0!</v>
      </c>
      <c r="I188" s="883" t="e">
        <f t="shared" si="56"/>
        <v>#DIV/0!</v>
      </c>
      <c r="J188" s="883" t="e">
        <f t="shared" si="56"/>
        <v>#DIV/0!</v>
      </c>
    </row>
    <row r="190" spans="1:10" s="894" customFormat="1">
      <c r="A190" s="894">
        <f>A188+1</f>
        <v>125</v>
      </c>
      <c r="B190" s="1597" t="s">
        <v>67</v>
      </c>
      <c r="C190" s="1597"/>
      <c r="D190" s="1597"/>
      <c r="E190" s="1597"/>
      <c r="F190" s="1597"/>
      <c r="G190" s="1597"/>
      <c r="H190" s="1597"/>
      <c r="I190" s="1597"/>
      <c r="J190" s="1597"/>
    </row>
    <row r="191" spans="1:10" s="894" customFormat="1">
      <c r="A191" s="901"/>
      <c r="B191" s="884"/>
      <c r="C191" s="884"/>
      <c r="D191" s="884"/>
      <c r="E191" s="884"/>
      <c r="F191" s="884"/>
      <c r="G191" s="884"/>
      <c r="H191" s="884"/>
      <c r="I191" s="884"/>
      <c r="J191" s="884"/>
    </row>
    <row r="192" spans="1:10" ht="15">
      <c r="A192" s="842" t="str">
        <f>"Development of "&amp;TCOS!O3&amp;" Long Term Debt Interest Expense"</f>
        <v>Development of   Long Term Debt Interest Expense</v>
      </c>
      <c r="B192" s="894"/>
      <c r="C192" s="894"/>
      <c r="D192" s="894"/>
      <c r="E192" s="894"/>
      <c r="F192" s="894"/>
      <c r="G192" s="894"/>
      <c r="H192" s="894"/>
      <c r="I192" s="894"/>
      <c r="J192" s="894"/>
    </row>
    <row r="193" spans="1:10">
      <c r="A193" s="894">
        <f>A190+1</f>
        <v>126</v>
      </c>
      <c r="B193" s="847" t="str">
        <f t="shared" ref="B193:I193" si="57">B19</f>
        <v>Interest on Long Term Debt (256-257.33.i)</v>
      </c>
      <c r="C193" s="486">
        <f t="shared" si="57"/>
        <v>0</v>
      </c>
      <c r="D193" s="486"/>
      <c r="E193" s="486">
        <f t="shared" si="57"/>
        <v>0</v>
      </c>
      <c r="F193" s="486">
        <f t="shared" si="57"/>
        <v>0</v>
      </c>
      <c r="G193" s="486">
        <f t="shared" si="57"/>
        <v>0</v>
      </c>
      <c r="H193" s="486">
        <f t="shared" si="57"/>
        <v>0</v>
      </c>
      <c r="I193" s="486">
        <f t="shared" si="57"/>
        <v>0</v>
      </c>
      <c r="J193" s="486">
        <f t="shared" ref="J193:J198" si="58">SUM(C193:I193)</f>
        <v>0</v>
      </c>
    </row>
    <row r="194" spans="1:10">
      <c r="A194" s="894">
        <f t="shared" ref="A194:A199" si="59">A193+1</f>
        <v>127</v>
      </c>
      <c r="B194" s="847" t="str">
        <f t="shared" ref="B194:C198" si="60">B20</f>
        <v>Amort of Debt Discount &amp; Expense (117.63.c)</v>
      </c>
      <c r="C194" s="486">
        <f>C20</f>
        <v>0</v>
      </c>
      <c r="D194" s="486"/>
      <c r="E194" s="486">
        <f t="shared" ref="E194:I195" si="61">E20</f>
        <v>0</v>
      </c>
      <c r="F194" s="486">
        <f t="shared" si="61"/>
        <v>0</v>
      </c>
      <c r="G194" s="486">
        <f t="shared" si="61"/>
        <v>0</v>
      </c>
      <c r="H194" s="486">
        <f t="shared" si="61"/>
        <v>0</v>
      </c>
      <c r="I194" s="486">
        <f t="shared" si="61"/>
        <v>0</v>
      </c>
      <c r="J194" s="486">
        <f t="shared" si="58"/>
        <v>0</v>
      </c>
    </row>
    <row r="195" spans="1:10">
      <c r="A195" s="894">
        <f t="shared" si="59"/>
        <v>128</v>
      </c>
      <c r="B195" s="847" t="str">
        <f t="shared" si="60"/>
        <v>Amort of Loss on Reacquired Debt (117.64.c)</v>
      </c>
      <c r="C195" s="486">
        <f t="shared" si="60"/>
        <v>0</v>
      </c>
      <c r="D195" s="486"/>
      <c r="E195" s="486">
        <f t="shared" si="61"/>
        <v>0</v>
      </c>
      <c r="F195" s="486">
        <f t="shared" si="61"/>
        <v>0</v>
      </c>
      <c r="G195" s="486">
        <f t="shared" si="61"/>
        <v>0</v>
      </c>
      <c r="H195" s="486">
        <f t="shared" si="61"/>
        <v>0</v>
      </c>
      <c r="I195" s="486">
        <f t="shared" si="61"/>
        <v>0</v>
      </c>
      <c r="J195" s="486">
        <f t="shared" si="58"/>
        <v>0</v>
      </c>
    </row>
    <row r="196" spans="1:10">
      <c r="A196" s="894">
        <f t="shared" si="59"/>
        <v>129</v>
      </c>
      <c r="B196" s="847" t="str">
        <f>B22</f>
        <v>Less: Amort of Premium on Debt (117.65.c)</v>
      </c>
      <c r="C196" s="486">
        <f t="shared" ref="C196:I196" si="62">C22</f>
        <v>0</v>
      </c>
      <c r="D196" s="486"/>
      <c r="E196" s="486">
        <f t="shared" si="62"/>
        <v>0</v>
      </c>
      <c r="F196" s="486">
        <f t="shared" si="62"/>
        <v>0</v>
      </c>
      <c r="G196" s="486">
        <f t="shared" si="62"/>
        <v>0</v>
      </c>
      <c r="H196" s="486">
        <f t="shared" si="62"/>
        <v>0</v>
      </c>
      <c r="I196" s="486">
        <f t="shared" si="62"/>
        <v>0</v>
      </c>
      <c r="J196" s="829">
        <f t="shared" si="58"/>
        <v>0</v>
      </c>
    </row>
    <row r="197" spans="1:10">
      <c r="A197" s="894">
        <f t="shared" si="59"/>
        <v>130</v>
      </c>
      <c r="B197" s="847" t="str">
        <f t="shared" si="60"/>
        <v>Less: Amort of Gain on Reacquired Debt (117.66.c)</v>
      </c>
      <c r="C197" s="486">
        <f>C23</f>
        <v>0</v>
      </c>
      <c r="D197" s="486"/>
      <c r="E197" s="486">
        <f t="shared" ref="E197:I198" si="63">E23</f>
        <v>0</v>
      </c>
      <c r="F197" s="486">
        <f t="shared" si="63"/>
        <v>0</v>
      </c>
      <c r="G197" s="486">
        <f t="shared" si="63"/>
        <v>0</v>
      </c>
      <c r="H197" s="486">
        <f t="shared" si="63"/>
        <v>0</v>
      </c>
      <c r="I197" s="486">
        <f t="shared" si="63"/>
        <v>0</v>
      </c>
      <c r="J197" s="829">
        <f t="shared" si="58"/>
        <v>0</v>
      </c>
    </row>
    <row r="198" spans="1:10">
      <c r="A198" s="894">
        <f t="shared" si="59"/>
        <v>131</v>
      </c>
      <c r="B198" s="902" t="str">
        <f t="shared" si="60"/>
        <v>Less: Hedge Interest on pp 256-257(i)</v>
      </c>
      <c r="C198" s="900">
        <f>C24</f>
        <v>0</v>
      </c>
      <c r="D198" s="900"/>
      <c r="E198" s="900">
        <f t="shared" si="63"/>
        <v>0</v>
      </c>
      <c r="F198" s="900">
        <f t="shared" si="63"/>
        <v>0</v>
      </c>
      <c r="G198" s="900">
        <f t="shared" si="63"/>
        <v>0</v>
      </c>
      <c r="H198" s="900">
        <f t="shared" si="63"/>
        <v>0</v>
      </c>
      <c r="I198" s="900">
        <f t="shared" si="63"/>
        <v>0</v>
      </c>
      <c r="J198" s="882">
        <f t="shared" si="58"/>
        <v>0</v>
      </c>
    </row>
    <row r="199" spans="1:10">
      <c r="A199" s="894">
        <f t="shared" si="59"/>
        <v>132</v>
      </c>
      <c r="B199" s="903" t="str">
        <f>""&amp;TCOS!O3&amp;" LTD Interest Expense"</f>
        <v xml:space="preserve">  LTD Interest Expense</v>
      </c>
      <c r="C199" s="904">
        <f t="shared" ref="C199:J199" si="64">C193+C194+C195-C196-C197-C198</f>
        <v>0</v>
      </c>
      <c r="D199" s="904"/>
      <c r="E199" s="904">
        <f t="shared" si="64"/>
        <v>0</v>
      </c>
      <c r="F199" s="904">
        <f t="shared" si="64"/>
        <v>0</v>
      </c>
      <c r="G199" s="904">
        <f t="shared" si="64"/>
        <v>0</v>
      </c>
      <c r="H199" s="904">
        <f t="shared" si="64"/>
        <v>0</v>
      </c>
      <c r="I199" s="904">
        <f t="shared" si="64"/>
        <v>0</v>
      </c>
      <c r="J199" s="904">
        <f t="shared" si="64"/>
        <v>0</v>
      </c>
    </row>
    <row r="200" spans="1:10">
      <c r="A200" s="894"/>
      <c r="B200" s="894"/>
      <c r="C200" s="894"/>
      <c r="D200" s="894"/>
      <c r="E200" s="894"/>
      <c r="F200" s="894"/>
      <c r="G200" s="894"/>
      <c r="H200" s="894"/>
      <c r="I200" s="894"/>
      <c r="J200" s="894"/>
    </row>
    <row r="201" spans="1:10" ht="15">
      <c r="A201" s="842" t="str">
        <f>""&amp;TCOS!O3&amp;" Cost of Preferred Stock and Preferred Dividends"</f>
        <v xml:space="preserve">  Cost of Preferred Stock and Preferred Dividends</v>
      </c>
      <c r="B201" s="905"/>
      <c r="C201" s="905"/>
      <c r="D201" s="905"/>
      <c r="E201" s="905"/>
      <c r="F201" s="894"/>
      <c r="G201" s="894"/>
      <c r="H201" s="894"/>
      <c r="I201" s="894"/>
      <c r="J201" s="894"/>
    </row>
    <row r="202" spans="1:10">
      <c r="A202" s="894">
        <f>A199+1</f>
        <v>133</v>
      </c>
      <c r="B202" s="465" t="str">
        <f>"Average Balance of Preferred Stock (Ln "&amp;A52&amp;" + Ln "&amp;A139&amp;") / 2"</f>
        <v>Average Balance of Preferred Stock (Ln 35 + Ln 94) / 2</v>
      </c>
      <c r="C202" s="904">
        <f>AVERAGE(C52,C139)</f>
        <v>0</v>
      </c>
      <c r="D202" s="904"/>
      <c r="E202" s="904">
        <f t="shared" ref="E202:J202" si="65">AVERAGE(E52,E139)</f>
        <v>0</v>
      </c>
      <c r="F202" s="904">
        <f t="shared" si="65"/>
        <v>0</v>
      </c>
      <c r="G202" s="904">
        <f t="shared" si="65"/>
        <v>0</v>
      </c>
      <c r="H202" s="904">
        <f t="shared" si="65"/>
        <v>0</v>
      </c>
      <c r="I202" s="904">
        <f t="shared" si="65"/>
        <v>0</v>
      </c>
      <c r="J202" s="904">
        <f t="shared" si="65"/>
        <v>0</v>
      </c>
    </row>
    <row r="203" spans="1:10">
      <c r="A203" s="894">
        <f>A202+1</f>
        <v>134</v>
      </c>
      <c r="B203" s="465" t="str">
        <f>""&amp;TCOS!O3&amp;" Preferred Dividends (Ln "&amp;A53&amp;")"</f>
        <v xml:space="preserve">  Preferred Dividends (Ln 36)</v>
      </c>
      <c r="C203" s="904">
        <f>C53</f>
        <v>0</v>
      </c>
      <c r="D203" s="904"/>
      <c r="E203" s="904">
        <f t="shared" ref="E203:J203" si="66">E53</f>
        <v>0</v>
      </c>
      <c r="F203" s="904">
        <f t="shared" si="66"/>
        <v>0</v>
      </c>
      <c r="G203" s="904">
        <f t="shared" si="66"/>
        <v>0</v>
      </c>
      <c r="H203" s="904">
        <f t="shared" si="66"/>
        <v>0</v>
      </c>
      <c r="I203" s="904">
        <f t="shared" si="66"/>
        <v>0</v>
      </c>
      <c r="J203" s="904">
        <f t="shared" si="66"/>
        <v>0</v>
      </c>
    </row>
    <row r="204" spans="1:10">
      <c r="B204" s="901"/>
    </row>
    <row r="205" spans="1:10" ht="15">
      <c r="A205" s="842" t="s">
        <v>543</v>
      </c>
    </row>
    <row r="206" spans="1:10">
      <c r="A206" s="880">
        <f>A203+1</f>
        <v>135</v>
      </c>
      <c r="B206" s="661" t="str">
        <f>"Average Proprietary Capital (Ln "&amp;A56&amp;" + Ln "&amp;A143&amp;") / 2"</f>
        <v>Average Proprietary Capital (Ln 37 + Ln 96) / 2</v>
      </c>
      <c r="C206" s="486" t="e">
        <f t="shared" ref="C206:I206" si="67">AVERAGE(C56,C143)</f>
        <v>#DIV/0!</v>
      </c>
      <c r="D206" s="486"/>
      <c r="E206" s="486" t="e">
        <f t="shared" si="67"/>
        <v>#DIV/0!</v>
      </c>
      <c r="F206" s="486" t="e">
        <f t="shared" si="67"/>
        <v>#DIV/0!</v>
      </c>
      <c r="G206" s="486" t="e">
        <f t="shared" si="67"/>
        <v>#DIV/0!</v>
      </c>
      <c r="H206" s="486" t="e">
        <f t="shared" si="67"/>
        <v>#DIV/0!</v>
      </c>
      <c r="I206" s="486" t="e">
        <f t="shared" si="67"/>
        <v>#DIV/0!</v>
      </c>
      <c r="J206" s="887" t="e">
        <f>SUM(C206:I206)</f>
        <v>#DIV/0!</v>
      </c>
    </row>
    <row r="207" spans="1:10">
      <c r="A207" s="880">
        <f>A206+1</f>
        <v>136</v>
      </c>
      <c r="B207" s="661" t="str">
        <f>"Less: Average Preferred Stock (Ln "&amp;A202&amp;" Above)"</f>
        <v>Less: Average Preferred Stock (Ln 133 Above)</v>
      </c>
      <c r="C207" s="486">
        <f t="shared" ref="C207:H207" si="68">C202</f>
        <v>0</v>
      </c>
      <c r="D207" s="486"/>
      <c r="E207" s="486">
        <f t="shared" si="68"/>
        <v>0</v>
      </c>
      <c r="F207" s="486">
        <f t="shared" si="68"/>
        <v>0</v>
      </c>
      <c r="G207" s="486">
        <f t="shared" si="68"/>
        <v>0</v>
      </c>
      <c r="H207" s="486">
        <f t="shared" si="68"/>
        <v>0</v>
      </c>
      <c r="I207" s="486">
        <f>I202</f>
        <v>0</v>
      </c>
      <c r="J207" s="887">
        <f>SUM(C207:I207)</f>
        <v>0</v>
      </c>
    </row>
    <row r="208" spans="1:10">
      <c r="A208" s="880">
        <f>A207+1</f>
        <v>137</v>
      </c>
      <c r="B208" s="661" t="str">
        <f>"Less: Average Account 216.1 (Ln "&amp;A58&amp;" + Ln "&amp;A145&amp;") / 2"</f>
        <v>Less: Average Account 216.1 (Ln 39 + Ln 98) / 2</v>
      </c>
      <c r="C208" s="486" t="e">
        <f t="shared" ref="C208:I209" si="69">AVERAGE(C58,C145)</f>
        <v>#DIV/0!</v>
      </c>
      <c r="D208" s="486"/>
      <c r="E208" s="486" t="e">
        <f t="shared" si="69"/>
        <v>#DIV/0!</v>
      </c>
      <c r="F208" s="486" t="e">
        <f t="shared" si="69"/>
        <v>#DIV/0!</v>
      </c>
      <c r="G208" s="486" t="e">
        <f t="shared" si="69"/>
        <v>#DIV/0!</v>
      </c>
      <c r="H208" s="486" t="e">
        <f t="shared" si="69"/>
        <v>#DIV/0!</v>
      </c>
      <c r="I208" s="486" t="e">
        <f t="shared" si="69"/>
        <v>#DIV/0!</v>
      </c>
      <c r="J208" s="887" t="e">
        <f>SUM(C208:I208)</f>
        <v>#DIV/0!</v>
      </c>
    </row>
    <row r="209" spans="1:12">
      <c r="A209" s="880">
        <f>A208+1</f>
        <v>138</v>
      </c>
      <c r="B209" s="661" t="str">
        <f>"Less: Average Account 219.1 (Ln "&amp;A59&amp;" + Ln "&amp;A146&amp;") / 2"</f>
        <v>Less: Average Account 219.1 (Ln 40 + Ln 99) / 2</v>
      </c>
      <c r="C209" s="900" t="e">
        <f t="shared" si="69"/>
        <v>#DIV/0!</v>
      </c>
      <c r="D209" s="900"/>
      <c r="E209" s="900" t="e">
        <f t="shared" si="69"/>
        <v>#DIV/0!</v>
      </c>
      <c r="F209" s="900" t="e">
        <f t="shared" si="69"/>
        <v>#DIV/0!</v>
      </c>
      <c r="G209" s="900" t="e">
        <f t="shared" si="69"/>
        <v>#DIV/0!</v>
      </c>
      <c r="H209" s="900" t="e">
        <f t="shared" si="69"/>
        <v>#DIV/0!</v>
      </c>
      <c r="I209" s="900" t="e">
        <f t="shared" si="69"/>
        <v>#DIV/0!</v>
      </c>
      <c r="J209" s="892" t="e">
        <f>SUM(C209:I209)</f>
        <v>#DIV/0!</v>
      </c>
    </row>
    <row r="210" spans="1:12">
      <c r="A210" s="880">
        <f>A209+1</f>
        <v>139</v>
      </c>
      <c r="B210" s="844" t="s">
        <v>341</v>
      </c>
      <c r="C210" s="829" t="e">
        <f t="shared" ref="C210:J210" si="70">C206-C207-C208-C209</f>
        <v>#DIV/0!</v>
      </c>
      <c r="D210" s="829"/>
      <c r="E210" s="829" t="e">
        <f t="shared" si="70"/>
        <v>#DIV/0!</v>
      </c>
      <c r="F210" s="829" t="e">
        <f t="shared" si="70"/>
        <v>#DIV/0!</v>
      </c>
      <c r="G210" s="829" t="e">
        <f t="shared" si="70"/>
        <v>#DIV/0!</v>
      </c>
      <c r="H210" s="829" t="e">
        <f t="shared" si="70"/>
        <v>#DIV/0!</v>
      </c>
      <c r="I210" s="829" t="e">
        <f t="shared" si="70"/>
        <v>#DIV/0!</v>
      </c>
      <c r="J210" s="829" t="e">
        <f t="shared" si="70"/>
        <v>#DIV/0!</v>
      </c>
    </row>
    <row r="212" spans="1:12" ht="15">
      <c r="A212" s="842" t="s">
        <v>535</v>
      </c>
    </row>
    <row r="213" spans="1:12">
      <c r="A213" s="880">
        <f>A210+1</f>
        <v>140</v>
      </c>
      <c r="B213" s="465" t="str">
        <f>"Average Balance of Long Term Debt (Ln "&amp;A188&amp;" Above)"</f>
        <v>Average Balance of Long Term Debt (Ln 124 Above)</v>
      </c>
      <c r="C213" s="887" t="e">
        <f t="shared" ref="C213:J213" si="71">C188</f>
        <v>#DIV/0!</v>
      </c>
      <c r="D213" s="887"/>
      <c r="E213" s="887" t="e">
        <f t="shared" si="71"/>
        <v>#DIV/0!</v>
      </c>
      <c r="F213" s="887" t="e">
        <f t="shared" si="71"/>
        <v>#DIV/0!</v>
      </c>
      <c r="G213" s="887" t="e">
        <f t="shared" si="71"/>
        <v>#DIV/0!</v>
      </c>
      <c r="H213" s="887" t="e">
        <f t="shared" si="71"/>
        <v>#DIV/0!</v>
      </c>
      <c r="I213" s="887" t="e">
        <f t="shared" si="71"/>
        <v>#DIV/0!</v>
      </c>
      <c r="J213" s="887" t="e">
        <f t="shared" si="71"/>
        <v>#DIV/0!</v>
      </c>
    </row>
    <row r="214" spans="1:12">
      <c r="A214" s="880">
        <f>A213+1</f>
        <v>141</v>
      </c>
      <c r="B214" s="465" t="str">
        <f>"Average Balance of Preferred Stock (Ln "&amp;A202&amp;" Above)"</f>
        <v>Average Balance of Preferred Stock (Ln 133 Above)</v>
      </c>
      <c r="C214" s="887">
        <f t="shared" ref="C214:J214" si="72">C202</f>
        <v>0</v>
      </c>
      <c r="D214" s="887"/>
      <c r="E214" s="887">
        <f t="shared" si="72"/>
        <v>0</v>
      </c>
      <c r="F214" s="887">
        <f t="shared" si="72"/>
        <v>0</v>
      </c>
      <c r="G214" s="887">
        <f t="shared" si="72"/>
        <v>0</v>
      </c>
      <c r="H214" s="887">
        <f t="shared" si="72"/>
        <v>0</v>
      </c>
      <c r="I214" s="887">
        <f t="shared" si="72"/>
        <v>0</v>
      </c>
      <c r="J214" s="887">
        <f t="shared" si="72"/>
        <v>0</v>
      </c>
    </row>
    <row r="215" spans="1:12">
      <c r="A215" s="880">
        <f>A214+1</f>
        <v>142</v>
      </c>
      <c r="B215" s="465" t="str">
        <f>"Average Balance of Common Equity (Ln "&amp;A210&amp;" Above)"</f>
        <v>Average Balance of Common Equity (Ln 139 Above)</v>
      </c>
      <c r="C215" s="892" t="e">
        <f t="shared" ref="C215:J215" si="73">C210</f>
        <v>#DIV/0!</v>
      </c>
      <c r="D215" s="892"/>
      <c r="E215" s="892" t="e">
        <f t="shared" si="73"/>
        <v>#DIV/0!</v>
      </c>
      <c r="F215" s="892" t="e">
        <f t="shared" si="73"/>
        <v>#DIV/0!</v>
      </c>
      <c r="G215" s="892" t="e">
        <f t="shared" si="73"/>
        <v>#DIV/0!</v>
      </c>
      <c r="H215" s="892" t="e">
        <f t="shared" si="73"/>
        <v>#DIV/0!</v>
      </c>
      <c r="I215" s="892" t="e">
        <f t="shared" si="73"/>
        <v>#DIV/0!</v>
      </c>
      <c r="J215" s="892" t="e">
        <f t="shared" si="73"/>
        <v>#DIV/0!</v>
      </c>
    </row>
    <row r="216" spans="1:12">
      <c r="A216" s="880">
        <f>A215+1</f>
        <v>143</v>
      </c>
      <c r="B216" s="880" t="s">
        <v>544</v>
      </c>
      <c r="C216" s="887" t="e">
        <f t="shared" ref="C216:J216" si="74">SUM(C213:C215)</f>
        <v>#DIV/0!</v>
      </c>
      <c r="D216" s="887"/>
      <c r="E216" s="887" t="e">
        <f t="shared" si="74"/>
        <v>#DIV/0!</v>
      </c>
      <c r="F216" s="887" t="e">
        <f t="shared" si="74"/>
        <v>#DIV/0!</v>
      </c>
      <c r="G216" s="887" t="e">
        <f t="shared" si="74"/>
        <v>#DIV/0!</v>
      </c>
      <c r="H216" s="887" t="e">
        <f t="shared" si="74"/>
        <v>#DIV/0!</v>
      </c>
      <c r="I216" s="887" t="e">
        <f t="shared" si="74"/>
        <v>#DIV/0!</v>
      </c>
      <c r="J216" s="887" t="e">
        <f t="shared" si="74"/>
        <v>#DIV/0!</v>
      </c>
      <c r="L216" s="906"/>
    </row>
    <row r="218" spans="1:12">
      <c r="A218" s="880">
        <f>A216+1</f>
        <v>144</v>
      </c>
      <c r="B218" s="465" t="str">
        <f>"Average Balance of LTD Capital Shares (Ln "&amp;A213&amp;" / Ln "&amp;A216&amp;")"</f>
        <v>Average Balance of LTD Capital Shares (Ln 140 / Ln 143)</v>
      </c>
      <c r="C218" s="893" t="e">
        <f t="shared" ref="C218:I218" si="75">C213/C216</f>
        <v>#DIV/0!</v>
      </c>
      <c r="D218" s="893"/>
      <c r="E218" s="893" t="e">
        <f t="shared" si="75"/>
        <v>#DIV/0!</v>
      </c>
      <c r="F218" s="893" t="e">
        <f t="shared" si="75"/>
        <v>#DIV/0!</v>
      </c>
      <c r="G218" s="893" t="e">
        <f t="shared" si="75"/>
        <v>#DIV/0!</v>
      </c>
      <c r="H218" s="893" t="e">
        <f t="shared" si="75"/>
        <v>#DIV/0!</v>
      </c>
      <c r="I218" s="893" t="e">
        <f t="shared" si="75"/>
        <v>#DIV/0!</v>
      </c>
      <c r="J218" s="893" t="e">
        <f>J213/J216</f>
        <v>#DIV/0!</v>
      </c>
    </row>
    <row r="219" spans="1:12">
      <c r="A219" s="880">
        <f>A218+1</f>
        <v>145</v>
      </c>
      <c r="B219" s="465" t="str">
        <f>"Average Balance of Preferred Stock Capital Shares (Ln "&amp;A214&amp;" / Ln "&amp;A216&amp;")"</f>
        <v>Average Balance of Preferred Stock Capital Shares (Ln 141 / Ln 143)</v>
      </c>
      <c r="C219" s="893" t="e">
        <f t="shared" ref="C219:I219" si="76">C214/C216</f>
        <v>#DIV/0!</v>
      </c>
      <c r="D219" s="893"/>
      <c r="E219" s="893" t="e">
        <f t="shared" si="76"/>
        <v>#DIV/0!</v>
      </c>
      <c r="F219" s="893" t="e">
        <f t="shared" si="76"/>
        <v>#DIV/0!</v>
      </c>
      <c r="G219" s="893" t="e">
        <f t="shared" si="76"/>
        <v>#DIV/0!</v>
      </c>
      <c r="H219" s="893" t="e">
        <f t="shared" si="76"/>
        <v>#DIV/0!</v>
      </c>
      <c r="I219" s="893" t="e">
        <f t="shared" si="76"/>
        <v>#DIV/0!</v>
      </c>
      <c r="J219" s="893" t="e">
        <f>J214/J216</f>
        <v>#DIV/0!</v>
      </c>
    </row>
    <row r="220" spans="1:12">
      <c r="A220" s="894">
        <f>A219+1</f>
        <v>146</v>
      </c>
      <c r="B220" s="465" t="str">
        <f>"Average Balance of Common Equity Capital Shares (Ln "&amp;A215&amp;" / Ln "&amp;A216&amp;")"</f>
        <v>Average Balance of Common Equity Capital Shares (Ln 142 / Ln 143)</v>
      </c>
      <c r="C220" s="895" t="e">
        <f t="shared" ref="C220:I220" si="77">C215/C216</f>
        <v>#DIV/0!</v>
      </c>
      <c r="D220" s="895"/>
      <c r="E220" s="895" t="e">
        <f t="shared" si="77"/>
        <v>#DIV/0!</v>
      </c>
      <c r="F220" s="895" t="e">
        <f t="shared" si="77"/>
        <v>#DIV/0!</v>
      </c>
      <c r="G220" s="895" t="e">
        <f t="shared" si="77"/>
        <v>#DIV/0!</v>
      </c>
      <c r="H220" s="895" t="e">
        <f t="shared" si="77"/>
        <v>#DIV/0!</v>
      </c>
      <c r="I220" s="895" t="e">
        <f t="shared" si="77"/>
        <v>#DIV/0!</v>
      </c>
      <c r="J220" s="895" t="e">
        <f>J215/J216</f>
        <v>#DIV/0!</v>
      </c>
    </row>
    <row r="221" spans="1:12">
      <c r="A221" s="894"/>
      <c r="B221" s="465"/>
      <c r="C221" s="895"/>
      <c r="D221" s="895"/>
      <c r="E221" s="895"/>
      <c r="F221" s="895"/>
      <c r="G221" s="895"/>
      <c r="H221" s="895"/>
      <c r="I221" s="895"/>
      <c r="J221" s="895"/>
    </row>
    <row r="222" spans="1:12">
      <c r="A222" s="894">
        <f>A220+1</f>
        <v>147</v>
      </c>
      <c r="B222" s="843" t="s">
        <v>566</v>
      </c>
      <c r="C222" s="895"/>
      <c r="D222" s="895"/>
      <c r="E222" s="895"/>
      <c r="F222" s="895"/>
      <c r="G222" s="895"/>
      <c r="H222" s="895"/>
      <c r="I222" s="895"/>
      <c r="J222" s="895"/>
    </row>
    <row r="223" spans="1:12">
      <c r="A223" s="894"/>
      <c r="B223" s="465"/>
      <c r="C223" s="895"/>
      <c r="D223" s="895"/>
      <c r="E223" s="895"/>
      <c r="F223" s="895"/>
      <c r="G223" s="895"/>
      <c r="H223" s="895"/>
      <c r="I223" s="895"/>
      <c r="J223" s="895"/>
    </row>
    <row r="224" spans="1:12">
      <c r="A224" s="894">
        <f>A222+1</f>
        <v>148</v>
      </c>
      <c r="B224" s="843" t="s">
        <v>566</v>
      </c>
      <c r="C224" s="895"/>
      <c r="D224" s="895"/>
      <c r="E224" s="895"/>
      <c r="F224" s="895"/>
      <c r="G224" s="895"/>
      <c r="H224" s="895"/>
      <c r="I224" s="895"/>
      <c r="J224" s="895"/>
    </row>
    <row r="225" spans="1:10">
      <c r="A225" s="894">
        <f>A224+1</f>
        <v>149</v>
      </c>
      <c r="B225" s="843" t="s">
        <v>566</v>
      </c>
      <c r="C225" s="895"/>
      <c r="D225" s="895"/>
      <c r="E225" s="895"/>
      <c r="F225" s="895"/>
      <c r="G225" s="895"/>
      <c r="H225" s="895"/>
      <c r="I225" s="895"/>
      <c r="J225" s="895"/>
    </row>
    <row r="226" spans="1:10">
      <c r="A226" s="894">
        <f>A225+1</f>
        <v>150</v>
      </c>
      <c r="B226" s="843" t="s">
        <v>566</v>
      </c>
      <c r="C226" s="895"/>
      <c r="D226" s="895"/>
      <c r="E226" s="895"/>
      <c r="F226" s="895"/>
      <c r="G226" s="895"/>
      <c r="H226" s="895"/>
      <c r="I226" s="895"/>
      <c r="J226" s="895"/>
    </row>
    <row r="227" spans="1:10">
      <c r="A227" s="894"/>
      <c r="B227" s="465"/>
      <c r="C227" s="895"/>
      <c r="D227" s="895"/>
      <c r="E227" s="895"/>
      <c r="F227" s="895"/>
      <c r="G227" s="895"/>
      <c r="H227" s="895"/>
      <c r="I227" s="895"/>
      <c r="J227" s="895"/>
    </row>
    <row r="228" spans="1:10" ht="15">
      <c r="A228" s="842" t="s">
        <v>537</v>
      </c>
      <c r="B228" s="894"/>
      <c r="C228" s="894"/>
      <c r="D228" s="894"/>
      <c r="E228" s="894"/>
      <c r="F228" s="894"/>
      <c r="G228" s="894"/>
      <c r="H228" s="894"/>
      <c r="I228" s="894"/>
      <c r="J228" s="894"/>
    </row>
    <row r="229" spans="1:10">
      <c r="A229" s="894">
        <f>A226+1</f>
        <v>151</v>
      </c>
      <c r="B229" s="465" t="str">
        <f>"LTD Capital Cost Rate (Ln "&amp;A199&amp;" / Ln "&amp;A188&amp;")"</f>
        <v>LTD Capital Cost Rate (Ln 132 / Ln 124)</v>
      </c>
      <c r="C229" s="895" t="e">
        <f t="shared" ref="C229:J229" si="78">C199/C188</f>
        <v>#DIV/0!</v>
      </c>
      <c r="D229" s="895"/>
      <c r="E229" s="895" t="e">
        <f t="shared" si="78"/>
        <v>#DIV/0!</v>
      </c>
      <c r="F229" s="895" t="e">
        <f t="shared" si="78"/>
        <v>#DIV/0!</v>
      </c>
      <c r="G229" s="895" t="e">
        <f t="shared" si="78"/>
        <v>#DIV/0!</v>
      </c>
      <c r="H229" s="895" t="e">
        <f t="shared" si="78"/>
        <v>#DIV/0!</v>
      </c>
      <c r="I229" s="895" t="e">
        <f t="shared" si="78"/>
        <v>#DIV/0!</v>
      </c>
      <c r="J229" s="895" t="e">
        <f t="shared" si="78"/>
        <v>#DIV/0!</v>
      </c>
    </row>
    <row r="230" spans="1:10">
      <c r="A230" s="894">
        <f>A229+1</f>
        <v>152</v>
      </c>
      <c r="B230" s="465" t="str">
        <f>"Preferred Stock Capital Cost Rate (Ln "&amp;A203&amp;" / Ln "&amp;A202&amp;")"</f>
        <v>Preferred Stock Capital Cost Rate (Ln 134 / Ln 133)</v>
      </c>
      <c r="C230" s="895">
        <f t="shared" ref="C230:J230" si="79">IF(C202=0,0,C203/C202)</f>
        <v>0</v>
      </c>
      <c r="D230" s="895"/>
      <c r="E230" s="895">
        <f t="shared" si="79"/>
        <v>0</v>
      </c>
      <c r="F230" s="895">
        <f t="shared" si="79"/>
        <v>0</v>
      </c>
      <c r="G230" s="895">
        <f t="shared" si="79"/>
        <v>0</v>
      </c>
      <c r="H230" s="895">
        <f t="shared" si="79"/>
        <v>0</v>
      </c>
      <c r="I230" s="895">
        <f t="shared" si="79"/>
        <v>0</v>
      </c>
      <c r="J230" s="895">
        <f t="shared" si="79"/>
        <v>0</v>
      </c>
    </row>
    <row r="231" spans="1:10">
      <c r="A231" s="894">
        <f>A230+1</f>
        <v>153</v>
      </c>
      <c r="B231" s="465" t="s">
        <v>538</v>
      </c>
      <c r="C231" s="895">
        <v>0.1149</v>
      </c>
      <c r="D231" s="895"/>
      <c r="E231" s="895">
        <v>0.1149</v>
      </c>
      <c r="F231" s="895">
        <v>0.1149</v>
      </c>
      <c r="G231" s="895">
        <v>0.1149</v>
      </c>
      <c r="H231" s="895">
        <v>0.1149</v>
      </c>
      <c r="I231" s="895">
        <v>0.1149</v>
      </c>
      <c r="J231" s="895">
        <v>0.1149</v>
      </c>
    </row>
    <row r="232" spans="1:10">
      <c r="A232" s="894"/>
      <c r="B232" s="894"/>
      <c r="C232" s="894"/>
      <c r="D232" s="894"/>
      <c r="E232" s="894"/>
      <c r="F232" s="894"/>
      <c r="G232" s="894"/>
      <c r="H232" s="894"/>
      <c r="I232" s="894"/>
      <c r="J232" s="894"/>
    </row>
    <row r="233" spans="1:10" ht="15">
      <c r="A233" s="842" t="s">
        <v>539</v>
      </c>
      <c r="B233" s="894"/>
      <c r="C233" s="894"/>
      <c r="D233" s="894"/>
      <c r="E233" s="894"/>
      <c r="F233" s="894"/>
      <c r="G233" s="894"/>
      <c r="H233" s="894"/>
      <c r="I233" s="894"/>
      <c r="J233" s="894"/>
    </row>
    <row r="234" spans="1:10">
      <c r="A234" s="894">
        <f>A231+1</f>
        <v>154</v>
      </c>
      <c r="B234" s="465" t="str">
        <f>"LTD Weighted Capital Cost Rate (Ln "&amp;A218&amp;" * Ln "&amp;A229&amp;")"</f>
        <v>LTD Weighted Capital Cost Rate (Ln 144 * Ln 151)</v>
      </c>
      <c r="C234" s="895" t="e">
        <f>C218*C229</f>
        <v>#DIV/0!</v>
      </c>
      <c r="D234" s="895"/>
      <c r="E234" s="895" t="e">
        <f t="shared" ref="E234:J234" si="80">E218*E229</f>
        <v>#DIV/0!</v>
      </c>
      <c r="F234" s="895" t="e">
        <f t="shared" si="80"/>
        <v>#DIV/0!</v>
      </c>
      <c r="G234" s="895" t="e">
        <f t="shared" si="80"/>
        <v>#DIV/0!</v>
      </c>
      <c r="H234" s="895" t="e">
        <f t="shared" si="80"/>
        <v>#DIV/0!</v>
      </c>
      <c r="I234" s="895" t="e">
        <f t="shared" si="80"/>
        <v>#DIV/0!</v>
      </c>
      <c r="J234" s="895" t="e">
        <f t="shared" si="80"/>
        <v>#DIV/0!</v>
      </c>
    </row>
    <row r="235" spans="1:10">
      <c r="A235" s="894">
        <f>A234+1</f>
        <v>155</v>
      </c>
      <c r="B235" s="465" t="str">
        <f>"Preferred Stock Capital Cost Rate (Ln "&amp;A219&amp;" * Ln "&amp;A230&amp;")"</f>
        <v>Preferred Stock Capital Cost Rate (Ln 145 * Ln 152)</v>
      </c>
      <c r="C235" s="895" t="e">
        <f>C219*C230</f>
        <v>#DIV/0!</v>
      </c>
      <c r="D235" s="895"/>
      <c r="E235" s="895" t="e">
        <f t="shared" ref="E235:J235" si="81">E219*E230</f>
        <v>#DIV/0!</v>
      </c>
      <c r="F235" s="895" t="e">
        <f t="shared" si="81"/>
        <v>#DIV/0!</v>
      </c>
      <c r="G235" s="895" t="e">
        <f t="shared" si="81"/>
        <v>#DIV/0!</v>
      </c>
      <c r="H235" s="895" t="e">
        <f t="shared" si="81"/>
        <v>#DIV/0!</v>
      </c>
      <c r="I235" s="895" t="e">
        <f t="shared" si="81"/>
        <v>#DIV/0!</v>
      </c>
      <c r="J235" s="895" t="e">
        <f t="shared" si="81"/>
        <v>#DIV/0!</v>
      </c>
    </row>
    <row r="236" spans="1:10">
      <c r="A236" s="894">
        <f>A235+1</f>
        <v>156</v>
      </c>
      <c r="B236" s="465" t="str">
        <f>"Common Equity Capital Cost Rate (Ln "&amp;A220&amp;" * Ln "&amp;A231&amp;")"</f>
        <v>Common Equity Capital Cost Rate (Ln 146 * Ln 153)</v>
      </c>
      <c r="C236" s="907" t="e">
        <f>C220*C231</f>
        <v>#DIV/0!</v>
      </c>
      <c r="D236" s="907"/>
      <c r="E236" s="907" t="e">
        <f t="shared" ref="E236:J236" si="82">E220*E231</f>
        <v>#DIV/0!</v>
      </c>
      <c r="F236" s="907" t="e">
        <f t="shared" si="82"/>
        <v>#DIV/0!</v>
      </c>
      <c r="G236" s="907" t="e">
        <f t="shared" si="82"/>
        <v>#DIV/0!</v>
      </c>
      <c r="H236" s="907" t="e">
        <f t="shared" si="82"/>
        <v>#DIV/0!</v>
      </c>
      <c r="I236" s="907" t="e">
        <f t="shared" si="82"/>
        <v>#DIV/0!</v>
      </c>
      <c r="J236" s="907" t="e">
        <f t="shared" si="82"/>
        <v>#DIV/0!</v>
      </c>
    </row>
    <row r="237" spans="1:10">
      <c r="A237" s="894">
        <f>A236+1</f>
        <v>157</v>
      </c>
      <c r="B237" s="903" t="s">
        <v>71</v>
      </c>
      <c r="C237" s="908" t="e">
        <f t="shared" ref="C237:J237" si="83">SUM(C234:C236)</f>
        <v>#DIV/0!</v>
      </c>
      <c r="D237" s="908"/>
      <c r="E237" s="908" t="e">
        <f t="shared" si="83"/>
        <v>#DIV/0!</v>
      </c>
      <c r="F237" s="908" t="e">
        <f t="shared" si="83"/>
        <v>#DIV/0!</v>
      </c>
      <c r="G237" s="908" t="e">
        <f t="shared" si="83"/>
        <v>#DIV/0!</v>
      </c>
      <c r="H237" s="908" t="e">
        <f t="shared" si="83"/>
        <v>#DIV/0!</v>
      </c>
      <c r="I237" s="908" t="e">
        <f t="shared" si="83"/>
        <v>#DIV/0!</v>
      </c>
      <c r="J237" s="908" t="e">
        <f t="shared" si="83"/>
        <v>#DIV/0!</v>
      </c>
    </row>
    <row r="238" spans="1:10">
      <c r="A238" s="894"/>
      <c r="B238" s="901"/>
      <c r="C238" s="894"/>
      <c r="D238" s="894"/>
      <c r="E238" s="894"/>
      <c r="F238" s="894"/>
      <c r="G238" s="894"/>
      <c r="H238" s="894"/>
      <c r="I238" s="894"/>
      <c r="J238" s="894"/>
    </row>
    <row r="239" spans="1:10">
      <c r="A239" s="894"/>
      <c r="B239" s="894"/>
      <c r="C239" s="894"/>
      <c r="D239" s="894"/>
      <c r="E239" s="894"/>
      <c r="F239" s="894"/>
      <c r="G239" s="894"/>
      <c r="H239" s="894"/>
      <c r="I239" s="894"/>
      <c r="J239" s="894"/>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L57"/>
  <sheetViews>
    <sheetView view="pageBreakPreview" zoomScale="60" zoomScaleNormal="100" workbookViewId="0">
      <selection activeCell="B8" sqref="B8:E8"/>
    </sheetView>
  </sheetViews>
  <sheetFormatPr defaultColWidth="8.85546875" defaultRowHeight="12.75"/>
  <cols>
    <col min="1" max="1" width="8.85546875" style="173"/>
    <col min="2" max="2" width="23" style="173" customWidth="1"/>
    <col min="3" max="3" width="10.5703125" style="173" customWidth="1"/>
    <col min="4" max="4" width="8.85546875" style="173"/>
    <col min="5" max="5" width="22"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600" t="s">
        <v>618</v>
      </c>
      <c r="C1" s="1600"/>
      <c r="D1" s="1600"/>
      <c r="E1" s="1600"/>
      <c r="F1" s="1600"/>
      <c r="G1" s="1600"/>
      <c r="H1" s="1600"/>
      <c r="I1" s="1600"/>
      <c r="J1" s="1600"/>
      <c r="K1" s="1600"/>
      <c r="L1" s="1600"/>
    </row>
    <row r="2" spans="2:12" ht="15.75">
      <c r="B2" s="1599" t="s">
        <v>565</v>
      </c>
      <c r="C2" s="1599"/>
      <c r="D2" s="1599"/>
      <c r="E2" s="1599"/>
      <c r="F2" s="1599"/>
      <c r="G2" s="1599"/>
      <c r="H2" s="1599"/>
      <c r="I2" s="1599"/>
      <c r="J2" s="1599"/>
      <c r="K2" s="1599"/>
      <c r="L2" s="1599"/>
    </row>
    <row r="3" spans="2:12" ht="15.75">
      <c r="B3" s="1599" t="s">
        <v>595</v>
      </c>
      <c r="C3" s="1599"/>
      <c r="D3" s="1599"/>
      <c r="E3" s="1599"/>
      <c r="F3" s="1599"/>
      <c r="G3" s="1599"/>
      <c r="H3" s="1599"/>
      <c r="I3" s="1599"/>
      <c r="J3" s="1599"/>
      <c r="K3" s="1599"/>
      <c r="L3" s="1599"/>
    </row>
    <row r="4" spans="2:12" ht="15.75">
      <c r="B4" s="390"/>
      <c r="C4" s="390"/>
      <c r="D4" s="390"/>
      <c r="E4" s="1599"/>
      <c r="F4" s="1599"/>
      <c r="G4" s="1599"/>
      <c r="H4" s="1599"/>
      <c r="I4" s="390"/>
      <c r="J4" s="390"/>
      <c r="K4" s="390"/>
      <c r="L4" s="390"/>
    </row>
    <row r="5" spans="2:12">
      <c r="B5" s="389"/>
      <c r="C5" s="389"/>
      <c r="D5" s="389"/>
      <c r="E5" s="389"/>
      <c r="F5" s="389"/>
      <c r="G5" s="389"/>
      <c r="H5" s="389"/>
      <c r="I5" s="389"/>
      <c r="J5" s="389"/>
      <c r="K5" s="389"/>
      <c r="L5" s="389"/>
    </row>
    <row r="6" spans="2:12">
      <c r="B6" s="389"/>
      <c r="C6" s="389"/>
      <c r="D6" s="389"/>
      <c r="E6" s="389"/>
      <c r="F6" s="389"/>
      <c r="G6" s="389"/>
      <c r="H6" s="389"/>
      <c r="I6" s="389"/>
      <c r="J6" s="389"/>
      <c r="K6" s="389"/>
      <c r="L6" s="389"/>
    </row>
    <row r="7" spans="2:12" ht="16.5" thickBot="1">
      <c r="B7" s="914"/>
      <c r="C7" s="915"/>
      <c r="D7" s="915"/>
      <c r="E7" s="915"/>
      <c r="F7" s="915"/>
      <c r="G7" s="915"/>
      <c r="H7" s="915"/>
      <c r="I7" s="915"/>
      <c r="J7" s="915"/>
      <c r="K7" s="915"/>
      <c r="L7" s="915"/>
    </row>
    <row r="8" spans="2:12" ht="63">
      <c r="B8" s="916" t="str">
        <f>"Reconciliation Revenue Requirement For Year 2021 Available May 25, 2022"</f>
        <v>Reconciliation Revenue Requirement For Year 2021 Available May 25, 2022</v>
      </c>
      <c r="C8" s="915"/>
      <c r="D8" s="915"/>
      <c r="E8" s="916" t="s">
        <v>976</v>
      </c>
      <c r="F8" s="915"/>
      <c r="G8" s="915"/>
      <c r="H8" s="390"/>
      <c r="I8" s="916" t="s">
        <v>567</v>
      </c>
      <c r="J8" s="390"/>
      <c r="K8" s="390"/>
      <c r="L8" s="390"/>
    </row>
    <row r="9" spans="2:12" ht="15.75">
      <c r="B9" s="917" t="s">
        <v>416</v>
      </c>
      <c r="C9" s="915"/>
      <c r="D9" s="915"/>
      <c r="E9" s="917"/>
      <c r="F9" s="915"/>
      <c r="G9" s="915"/>
      <c r="H9" s="390"/>
      <c r="I9" s="918"/>
      <c r="J9" s="390"/>
      <c r="K9" s="390"/>
      <c r="L9" s="390"/>
    </row>
    <row r="10" spans="2:12" ht="16.5" thickBot="1">
      <c r="B10" s="913">
        <v>0</v>
      </c>
      <c r="C10" s="919" t="str">
        <f>"-"</f>
        <v>-</v>
      </c>
      <c r="D10" s="920"/>
      <c r="E10" s="913">
        <v>0</v>
      </c>
      <c r="F10" s="921"/>
      <c r="G10" s="922" t="str">
        <f>"="</f>
        <v>=</v>
      </c>
      <c r="H10" s="923"/>
      <c r="I10" s="924">
        <f>IF(B10=0,0,E10-B10)</f>
        <v>0</v>
      </c>
      <c r="J10" s="390"/>
      <c r="K10" s="390"/>
      <c r="L10" s="390"/>
    </row>
    <row r="11" spans="2:12" ht="15.75">
      <c r="B11" s="925"/>
      <c r="C11" s="926"/>
      <c r="D11" s="926"/>
      <c r="E11" s="925"/>
      <c r="F11" s="925"/>
      <c r="G11" s="926"/>
      <c r="H11" s="925"/>
      <c r="I11" s="390"/>
      <c r="J11" s="390"/>
      <c r="K11" s="390"/>
      <c r="L11" s="390"/>
    </row>
    <row r="12" spans="2:12" ht="16.5" thickBot="1">
      <c r="B12" s="927"/>
      <c r="C12" s="928"/>
      <c r="D12" s="928"/>
      <c r="E12" s="927"/>
      <c r="F12" s="927"/>
      <c r="G12" s="928"/>
      <c r="H12" s="927"/>
      <c r="I12" s="929"/>
      <c r="J12" s="929"/>
      <c r="K12" s="929"/>
      <c r="L12" s="929"/>
    </row>
    <row r="13" spans="2:12" ht="15.75">
      <c r="B13" s="930"/>
      <c r="C13" s="926"/>
      <c r="D13" s="926"/>
      <c r="E13" s="925"/>
      <c r="F13" s="925"/>
      <c r="G13" s="926"/>
      <c r="H13" s="925"/>
      <c r="I13" s="390"/>
      <c r="J13" s="390"/>
      <c r="K13" s="390"/>
      <c r="L13" s="390"/>
    </row>
    <row r="14" spans="2:12" ht="47.25">
      <c r="B14" s="931" t="s">
        <v>624</v>
      </c>
      <c r="C14" s="926"/>
      <c r="D14" s="926"/>
      <c r="E14" s="932" t="s">
        <v>568</v>
      </c>
      <c r="F14" s="925"/>
      <c r="G14" s="932" t="s">
        <v>569</v>
      </c>
      <c r="H14" s="933" t="s">
        <v>570</v>
      </c>
      <c r="I14" s="934" t="s">
        <v>571</v>
      </c>
      <c r="J14" s="932" t="s">
        <v>572</v>
      </c>
      <c r="K14" s="935"/>
      <c r="L14" s="932" t="s">
        <v>573</v>
      </c>
    </row>
    <row r="15" spans="2:12" ht="15.75">
      <c r="B15" s="931" t="s">
        <v>826</v>
      </c>
      <c r="C15" s="926"/>
      <c r="D15" s="926"/>
      <c r="E15" s="390"/>
      <c r="F15" s="936"/>
      <c r="G15" s="949">
        <v>4.0949999999999997E-3</v>
      </c>
      <c r="I15" s="390"/>
      <c r="J15" s="390"/>
      <c r="K15" s="390"/>
      <c r="L15" s="390"/>
    </row>
    <row r="16" spans="2:12" ht="15.75">
      <c r="B16" s="931"/>
      <c r="C16" s="926"/>
      <c r="D16" s="926"/>
      <c r="E16" s="390"/>
      <c r="F16" s="936"/>
      <c r="G16" s="936"/>
      <c r="H16" s="925"/>
      <c r="I16" s="390"/>
      <c r="J16" s="390"/>
      <c r="K16" s="390"/>
      <c r="L16" s="390"/>
    </row>
    <row r="17" spans="2:12" ht="15.75">
      <c r="B17" s="931" t="s">
        <v>954</v>
      </c>
      <c r="C17" s="926"/>
      <c r="D17" s="926"/>
      <c r="E17" s="390"/>
      <c r="F17" s="936"/>
      <c r="G17" s="936"/>
      <c r="H17" s="925"/>
      <c r="I17" s="390"/>
      <c r="J17" s="390"/>
      <c r="K17" s="390"/>
      <c r="L17" s="390"/>
    </row>
    <row r="18" spans="2:12" ht="15.75">
      <c r="B18" s="937" t="s">
        <v>416</v>
      </c>
      <c r="C18" s="926"/>
      <c r="D18" s="926"/>
      <c r="E18" s="926"/>
      <c r="F18" s="926"/>
      <c r="G18" s="926" t="s">
        <v>416</v>
      </c>
      <c r="H18" s="390"/>
      <c r="I18" s="390"/>
      <c r="J18" s="390"/>
      <c r="K18" s="390"/>
      <c r="L18" s="390"/>
    </row>
    <row r="19" spans="2:12" ht="15.75">
      <c r="B19" s="938"/>
      <c r="C19" s="926"/>
      <c r="D19" s="926"/>
      <c r="E19" s="926"/>
      <c r="F19" s="926"/>
      <c r="G19" s="390"/>
      <c r="H19" s="390"/>
      <c r="I19" s="933"/>
      <c r="J19" s="926"/>
      <c r="K19" s="926"/>
      <c r="L19" s="926"/>
    </row>
    <row r="20" spans="2:12" ht="15.75">
      <c r="B20" s="938" t="s">
        <v>574</v>
      </c>
      <c r="C20" s="926"/>
      <c r="D20" s="926"/>
      <c r="E20" s="926"/>
      <c r="F20" s="926"/>
      <c r="G20" s="390"/>
      <c r="H20" s="390"/>
      <c r="I20" s="933" t="s">
        <v>575</v>
      </c>
      <c r="J20" s="926"/>
      <c r="K20" s="926"/>
      <c r="L20" s="926"/>
    </row>
    <row r="21" spans="2:12" ht="15.75">
      <c r="B21" s="915" t="s">
        <v>576</v>
      </c>
      <c r="C21" s="915" t="str">
        <f>"Year 2018"</f>
        <v>Year 2018</v>
      </c>
      <c r="D21" s="915"/>
      <c r="E21" s="939">
        <f>I10/12</f>
        <v>0</v>
      </c>
      <c r="F21" s="939"/>
      <c r="G21" s="940">
        <f>+G15</f>
        <v>4.0949999999999997E-3</v>
      </c>
      <c r="H21" s="1312">
        <v>12</v>
      </c>
      <c r="I21" s="939">
        <f>G21*E21*H21*-1</f>
        <v>0</v>
      </c>
      <c r="J21" s="939"/>
      <c r="K21" s="939"/>
      <c r="L21" s="939">
        <f>(-I21+E21)*-1</f>
        <v>0</v>
      </c>
    </row>
    <row r="22" spans="2:12" ht="15.75">
      <c r="B22" s="915" t="s">
        <v>577</v>
      </c>
      <c r="C22" s="915" t="str">
        <f>C21</f>
        <v>Year 2018</v>
      </c>
      <c r="D22" s="915"/>
      <c r="E22" s="939">
        <f>+E21</f>
        <v>0</v>
      </c>
      <c r="F22" s="939"/>
      <c r="G22" s="940">
        <f>+G21</f>
        <v>4.0949999999999997E-3</v>
      </c>
      <c r="H22" s="1312">
        <f t="shared" ref="H22:H32" si="0">+H21-1</f>
        <v>11</v>
      </c>
      <c r="I22" s="939">
        <f t="shared" ref="I22:I32" si="1">G22*E22*H22*-1</f>
        <v>0</v>
      </c>
      <c r="J22" s="939"/>
      <c r="K22" s="939"/>
      <c r="L22" s="939">
        <f t="shared" ref="L22:L32" si="2">(-I22+E22)*-1</f>
        <v>0</v>
      </c>
    </row>
    <row r="23" spans="2:12" ht="15.75">
      <c r="B23" s="915" t="s">
        <v>578</v>
      </c>
      <c r="C23" s="915" t="str">
        <f t="shared" ref="C23:C32" si="3">C22</f>
        <v>Year 2018</v>
      </c>
      <c r="D23" s="915"/>
      <c r="E23" s="939">
        <f t="shared" ref="E23:E32" si="4">+E22</f>
        <v>0</v>
      </c>
      <c r="F23" s="939"/>
      <c r="G23" s="940">
        <f t="shared" ref="G23:G32" si="5">+G22</f>
        <v>4.0949999999999997E-3</v>
      </c>
      <c r="H23" s="1312">
        <f t="shared" si="0"/>
        <v>10</v>
      </c>
      <c r="I23" s="939">
        <f t="shared" si="1"/>
        <v>0</v>
      </c>
      <c r="J23" s="939"/>
      <c r="K23" s="939"/>
      <c r="L23" s="939">
        <f t="shared" si="2"/>
        <v>0</v>
      </c>
    </row>
    <row r="24" spans="2:12" ht="15.75">
      <c r="B24" s="915" t="s">
        <v>579</v>
      </c>
      <c r="C24" s="915" t="str">
        <f t="shared" si="3"/>
        <v>Year 2018</v>
      </c>
      <c r="D24" s="915"/>
      <c r="E24" s="939">
        <f t="shared" si="4"/>
        <v>0</v>
      </c>
      <c r="F24" s="939"/>
      <c r="G24" s="940">
        <f t="shared" si="5"/>
        <v>4.0949999999999997E-3</v>
      </c>
      <c r="H24" s="1312">
        <f t="shared" si="0"/>
        <v>9</v>
      </c>
      <c r="I24" s="939">
        <f t="shared" si="1"/>
        <v>0</v>
      </c>
      <c r="J24" s="939"/>
      <c r="K24" s="939"/>
      <c r="L24" s="939">
        <f t="shared" si="2"/>
        <v>0</v>
      </c>
    </row>
    <row r="25" spans="2:12" ht="15.75">
      <c r="B25" s="915" t="s">
        <v>580</v>
      </c>
      <c r="C25" s="915" t="str">
        <f t="shared" si="3"/>
        <v>Year 2018</v>
      </c>
      <c r="D25" s="915"/>
      <c r="E25" s="939">
        <f t="shared" si="4"/>
        <v>0</v>
      </c>
      <c r="F25" s="939"/>
      <c r="G25" s="940">
        <f t="shared" si="5"/>
        <v>4.0949999999999997E-3</v>
      </c>
      <c r="H25" s="1312">
        <f t="shared" si="0"/>
        <v>8</v>
      </c>
      <c r="I25" s="939">
        <f t="shared" si="1"/>
        <v>0</v>
      </c>
      <c r="J25" s="939"/>
      <c r="K25" s="939"/>
      <c r="L25" s="939">
        <f t="shared" si="2"/>
        <v>0</v>
      </c>
    </row>
    <row r="26" spans="2:12" ht="15.75">
      <c r="B26" s="915" t="s">
        <v>581</v>
      </c>
      <c r="C26" s="915" t="str">
        <f t="shared" si="3"/>
        <v>Year 2018</v>
      </c>
      <c r="D26" s="915"/>
      <c r="E26" s="939">
        <f t="shared" si="4"/>
        <v>0</v>
      </c>
      <c r="F26" s="939"/>
      <c r="G26" s="940">
        <f t="shared" si="5"/>
        <v>4.0949999999999997E-3</v>
      </c>
      <c r="H26" s="1312">
        <f t="shared" si="0"/>
        <v>7</v>
      </c>
      <c r="I26" s="939">
        <f t="shared" si="1"/>
        <v>0</v>
      </c>
      <c r="J26" s="939"/>
      <c r="K26" s="939"/>
      <c r="L26" s="939">
        <f t="shared" si="2"/>
        <v>0</v>
      </c>
    </row>
    <row r="27" spans="2:12" ht="15.75">
      <c r="B27" s="915" t="s">
        <v>582</v>
      </c>
      <c r="C27" s="915" t="str">
        <f t="shared" si="3"/>
        <v>Year 2018</v>
      </c>
      <c r="D27" s="915"/>
      <c r="E27" s="939">
        <f t="shared" si="4"/>
        <v>0</v>
      </c>
      <c r="F27" s="939"/>
      <c r="G27" s="940">
        <f t="shared" si="5"/>
        <v>4.0949999999999997E-3</v>
      </c>
      <c r="H27" s="1312">
        <f t="shared" si="0"/>
        <v>6</v>
      </c>
      <c r="I27" s="939">
        <f t="shared" si="1"/>
        <v>0</v>
      </c>
      <c r="J27" s="939"/>
      <c r="K27" s="939"/>
      <c r="L27" s="939">
        <f t="shared" si="2"/>
        <v>0</v>
      </c>
    </row>
    <row r="28" spans="2:12" ht="15.75">
      <c r="B28" s="915" t="s">
        <v>583</v>
      </c>
      <c r="C28" s="915" t="str">
        <f t="shared" si="3"/>
        <v>Year 2018</v>
      </c>
      <c r="D28" s="915"/>
      <c r="E28" s="939">
        <f t="shared" si="4"/>
        <v>0</v>
      </c>
      <c r="F28" s="939"/>
      <c r="G28" s="940">
        <f t="shared" si="5"/>
        <v>4.0949999999999997E-3</v>
      </c>
      <c r="H28" s="1312">
        <f t="shared" si="0"/>
        <v>5</v>
      </c>
      <c r="I28" s="939">
        <f t="shared" si="1"/>
        <v>0</v>
      </c>
      <c r="J28" s="939"/>
      <c r="K28" s="939"/>
      <c r="L28" s="939">
        <f t="shared" si="2"/>
        <v>0</v>
      </c>
    </row>
    <row r="29" spans="2:12" ht="15.75">
      <c r="B29" s="915" t="s">
        <v>584</v>
      </c>
      <c r="C29" s="915" t="str">
        <f t="shared" si="3"/>
        <v>Year 2018</v>
      </c>
      <c r="D29" s="915"/>
      <c r="E29" s="939">
        <f t="shared" si="4"/>
        <v>0</v>
      </c>
      <c r="F29" s="939"/>
      <c r="G29" s="940">
        <f t="shared" si="5"/>
        <v>4.0949999999999997E-3</v>
      </c>
      <c r="H29" s="1312">
        <f t="shared" si="0"/>
        <v>4</v>
      </c>
      <c r="I29" s="939">
        <f t="shared" si="1"/>
        <v>0</v>
      </c>
      <c r="J29" s="939"/>
      <c r="K29" s="939"/>
      <c r="L29" s="939">
        <f t="shared" si="2"/>
        <v>0</v>
      </c>
    </row>
    <row r="30" spans="2:12" ht="15.75">
      <c r="B30" s="915" t="s">
        <v>585</v>
      </c>
      <c r="C30" s="915" t="str">
        <f t="shared" si="3"/>
        <v>Year 2018</v>
      </c>
      <c r="D30" s="915"/>
      <c r="E30" s="939">
        <f t="shared" si="4"/>
        <v>0</v>
      </c>
      <c r="F30" s="939"/>
      <c r="G30" s="940">
        <f t="shared" si="5"/>
        <v>4.0949999999999997E-3</v>
      </c>
      <c r="H30" s="1312">
        <f t="shared" si="0"/>
        <v>3</v>
      </c>
      <c r="I30" s="939">
        <f t="shared" si="1"/>
        <v>0</v>
      </c>
      <c r="J30" s="939"/>
      <c r="K30" s="939"/>
      <c r="L30" s="939">
        <f t="shared" si="2"/>
        <v>0</v>
      </c>
    </row>
    <row r="31" spans="2:12" ht="15.75">
      <c r="B31" s="915" t="s">
        <v>586</v>
      </c>
      <c r="C31" s="915" t="str">
        <f t="shared" si="3"/>
        <v>Year 2018</v>
      </c>
      <c r="D31" s="915"/>
      <c r="E31" s="939">
        <f t="shared" si="4"/>
        <v>0</v>
      </c>
      <c r="F31" s="939"/>
      <c r="G31" s="940">
        <f t="shared" si="5"/>
        <v>4.0949999999999997E-3</v>
      </c>
      <c r="H31" s="1312">
        <f t="shared" si="0"/>
        <v>2</v>
      </c>
      <c r="I31" s="939">
        <f t="shared" si="1"/>
        <v>0</v>
      </c>
      <c r="J31" s="939"/>
      <c r="K31" s="939"/>
      <c r="L31" s="939">
        <f t="shared" si="2"/>
        <v>0</v>
      </c>
    </row>
    <row r="32" spans="2:12" ht="15.75">
      <c r="B32" s="915" t="s">
        <v>587</v>
      </c>
      <c r="C32" s="915" t="str">
        <f t="shared" si="3"/>
        <v>Year 2018</v>
      </c>
      <c r="D32" s="915"/>
      <c r="E32" s="939">
        <f t="shared" si="4"/>
        <v>0</v>
      </c>
      <c r="F32" s="939"/>
      <c r="G32" s="940">
        <f t="shared" si="5"/>
        <v>4.0949999999999997E-3</v>
      </c>
      <c r="H32" s="1312">
        <f t="shared" si="0"/>
        <v>1</v>
      </c>
      <c r="I32" s="941">
        <f t="shared" si="1"/>
        <v>0</v>
      </c>
      <c r="J32" s="939"/>
      <c r="K32" s="939"/>
      <c r="L32" s="939">
        <f t="shared" si="2"/>
        <v>0</v>
      </c>
    </row>
    <row r="33" spans="2:12" ht="15.75">
      <c r="B33" s="915"/>
      <c r="C33" s="915"/>
      <c r="D33" s="915"/>
      <c r="E33" s="939"/>
      <c r="F33" s="939"/>
      <c r="G33" s="940"/>
      <c r="H33" s="926"/>
      <c r="I33" s="939">
        <f>SUM(I21:I32)</f>
        <v>0</v>
      </c>
      <c r="J33" s="939"/>
      <c r="K33" s="939"/>
      <c r="L33" s="942">
        <f>SUM(L21:L32)</f>
        <v>0</v>
      </c>
    </row>
    <row r="34" spans="2:12" ht="15.75">
      <c r="B34" s="915"/>
      <c r="C34" s="915"/>
      <c r="D34" s="915"/>
      <c r="E34" s="939"/>
      <c r="F34" s="939"/>
      <c r="G34" s="940"/>
      <c r="H34" s="926"/>
      <c r="I34" s="939"/>
      <c r="J34" s="939" t="s">
        <v>416</v>
      </c>
      <c r="K34" s="939"/>
      <c r="L34" s="390"/>
    </row>
    <row r="35" spans="2:12" ht="15.75">
      <c r="B35" s="915"/>
      <c r="C35" s="915"/>
      <c r="D35" s="915"/>
      <c r="E35" s="925"/>
      <c r="F35" s="925"/>
      <c r="G35" s="940"/>
      <c r="H35" s="926"/>
      <c r="I35" s="943" t="s">
        <v>588</v>
      </c>
      <c r="J35" s="939"/>
      <c r="K35" s="939"/>
      <c r="L35" s="939"/>
    </row>
    <row r="36" spans="2:12" ht="15.75">
      <c r="B36" s="915" t="s">
        <v>589</v>
      </c>
      <c r="C36" s="915" t="str">
        <f>"Year 2019"</f>
        <v>Year 2019</v>
      </c>
      <c r="D36" s="915"/>
      <c r="E36" s="925">
        <f>L33</f>
        <v>0</v>
      </c>
      <c r="F36" s="925"/>
      <c r="G36" s="940">
        <f>+G32</f>
        <v>4.0949999999999997E-3</v>
      </c>
      <c r="H36" s="1312">
        <v>12</v>
      </c>
      <c r="I36" s="939">
        <f>+H36*G36*E36</f>
        <v>0</v>
      </c>
      <c r="J36" s="939"/>
      <c r="K36" s="939"/>
      <c r="L36" s="942">
        <f>+E36+I36</f>
        <v>0</v>
      </c>
    </row>
    <row r="37" spans="2:12" ht="15.75">
      <c r="B37" s="915"/>
      <c r="C37" s="915"/>
      <c r="D37" s="915"/>
      <c r="E37" s="925"/>
      <c r="F37" s="925"/>
      <c r="G37" s="940"/>
      <c r="H37" s="915"/>
      <c r="I37" s="939"/>
      <c r="J37" s="939"/>
      <c r="K37" s="939"/>
      <c r="L37" s="939"/>
    </row>
    <row r="38" spans="2:12" ht="15.75">
      <c r="B38" s="944" t="s">
        <v>590</v>
      </c>
      <c r="C38" s="915"/>
      <c r="D38" s="915"/>
      <c r="E38" s="939"/>
      <c r="F38" s="939"/>
      <c r="G38" s="940"/>
      <c r="H38" s="915"/>
      <c r="I38" s="943" t="s">
        <v>575</v>
      </c>
      <c r="J38" s="939"/>
      <c r="K38" s="939"/>
      <c r="L38" s="939"/>
    </row>
    <row r="39" spans="2:12" ht="15.75">
      <c r="B39" s="915" t="s">
        <v>576</v>
      </c>
      <c r="C39" s="915" t="str">
        <f>"Year 2020"</f>
        <v>Year 2020</v>
      </c>
      <c r="D39" s="915"/>
      <c r="E39" s="945">
        <f>-L36</f>
        <v>0</v>
      </c>
      <c r="F39" s="925"/>
      <c r="G39" s="940">
        <f>+G32</f>
        <v>4.0949999999999997E-3</v>
      </c>
      <c r="H39" s="915"/>
      <c r="I39" s="939">
        <f xml:space="preserve"> -G39*E39</f>
        <v>0</v>
      </c>
      <c r="J39" s="939">
        <f>PMT(G39,12,L$36)</f>
        <v>0</v>
      </c>
      <c r="K39" s="939"/>
      <c r="L39" s="939">
        <f>(+E39+E39*G39-J39)*-1</f>
        <v>0</v>
      </c>
    </row>
    <row r="40" spans="2:12" ht="15.75">
      <c r="B40" s="915" t="s">
        <v>577</v>
      </c>
      <c r="C40" s="915" t="str">
        <f>+C39</f>
        <v>Year 2020</v>
      </c>
      <c r="D40" s="915"/>
      <c r="E40" s="925">
        <f>-L39</f>
        <v>0</v>
      </c>
      <c r="F40" s="925"/>
      <c r="G40" s="940">
        <f>+G39</f>
        <v>4.0949999999999997E-3</v>
      </c>
      <c r="H40" s="915"/>
      <c r="I40" s="939">
        <f xml:space="preserve"> -G40*E40</f>
        <v>0</v>
      </c>
      <c r="J40" s="939">
        <f>J39</f>
        <v>0</v>
      </c>
      <c r="K40" s="939"/>
      <c r="L40" s="939">
        <f t="shared" ref="L40:L50" si="6">(+E40+E40*G40-J40)*-1</f>
        <v>0</v>
      </c>
    </row>
    <row r="41" spans="2:12" ht="15.75">
      <c r="B41" s="915" t="s">
        <v>578</v>
      </c>
      <c r="C41" s="915" t="str">
        <f>+C40</f>
        <v>Year 2020</v>
      </c>
      <c r="D41" s="915"/>
      <c r="E41" s="925">
        <f t="shared" ref="E41:E50" si="7">-L40</f>
        <v>0</v>
      </c>
      <c r="F41" s="925"/>
      <c r="G41" s="940">
        <f t="shared" ref="G41:G50" si="8">+G40</f>
        <v>4.0949999999999997E-3</v>
      </c>
      <c r="H41" s="915"/>
      <c r="I41" s="939">
        <f t="shared" ref="I41:I50" si="9" xml:space="preserve"> -G41*E41</f>
        <v>0</v>
      </c>
      <c r="J41" s="939">
        <f t="shared" ref="J41:J50" si="10">J40</f>
        <v>0</v>
      </c>
      <c r="K41" s="939"/>
      <c r="L41" s="939">
        <f t="shared" si="6"/>
        <v>0</v>
      </c>
    </row>
    <row r="42" spans="2:12" ht="15.75">
      <c r="B42" s="915" t="s">
        <v>579</v>
      </c>
      <c r="C42" s="915" t="str">
        <f>+C41</f>
        <v>Year 2020</v>
      </c>
      <c r="D42" s="915"/>
      <c r="E42" s="925">
        <f t="shared" si="7"/>
        <v>0</v>
      </c>
      <c r="F42" s="925"/>
      <c r="G42" s="940">
        <f t="shared" si="8"/>
        <v>4.0949999999999997E-3</v>
      </c>
      <c r="H42" s="915"/>
      <c r="I42" s="939">
        <f t="shared" si="9"/>
        <v>0</v>
      </c>
      <c r="J42" s="939">
        <f t="shared" si="10"/>
        <v>0</v>
      </c>
      <c r="K42" s="939"/>
      <c r="L42" s="939">
        <f t="shared" si="6"/>
        <v>0</v>
      </c>
    </row>
    <row r="43" spans="2:12" ht="15.75">
      <c r="B43" s="915" t="s">
        <v>580</v>
      </c>
      <c r="C43" s="915" t="str">
        <f>+C42</f>
        <v>Year 2020</v>
      </c>
      <c r="D43" s="915"/>
      <c r="E43" s="925">
        <f t="shared" si="7"/>
        <v>0</v>
      </c>
      <c r="F43" s="925"/>
      <c r="G43" s="940">
        <f t="shared" si="8"/>
        <v>4.0949999999999997E-3</v>
      </c>
      <c r="H43" s="915"/>
      <c r="I43" s="939">
        <f t="shared" si="9"/>
        <v>0</v>
      </c>
      <c r="J43" s="939">
        <f>J42</f>
        <v>0</v>
      </c>
      <c r="K43" s="939"/>
      <c r="L43" s="939">
        <f t="shared" si="6"/>
        <v>0</v>
      </c>
    </row>
    <row r="44" spans="2:12" ht="15.75">
      <c r="B44" s="915" t="s">
        <v>581</v>
      </c>
      <c r="C44" s="915" t="str">
        <f>C43</f>
        <v>Year 2020</v>
      </c>
      <c r="D44" s="390"/>
      <c r="E44" s="925">
        <f t="shared" si="7"/>
        <v>0</v>
      </c>
      <c r="F44" s="925"/>
      <c r="G44" s="940">
        <f t="shared" si="8"/>
        <v>4.0949999999999997E-3</v>
      </c>
      <c r="H44" s="915"/>
      <c r="I44" s="939">
        <f t="shared" si="9"/>
        <v>0</v>
      </c>
      <c r="J44" s="939">
        <f t="shared" si="10"/>
        <v>0</v>
      </c>
      <c r="K44" s="939"/>
      <c r="L44" s="939">
        <f t="shared" si="6"/>
        <v>0</v>
      </c>
    </row>
    <row r="45" spans="2:12" ht="15.75">
      <c r="B45" s="915" t="s">
        <v>582</v>
      </c>
      <c r="C45" s="915" t="str">
        <f t="shared" ref="C45:C50" si="11">+C44</f>
        <v>Year 2020</v>
      </c>
      <c r="D45" s="915"/>
      <c r="E45" s="925">
        <f t="shared" si="7"/>
        <v>0</v>
      </c>
      <c r="F45" s="925"/>
      <c r="G45" s="940">
        <f t="shared" si="8"/>
        <v>4.0949999999999997E-3</v>
      </c>
      <c r="H45" s="915"/>
      <c r="I45" s="939">
        <f t="shared" si="9"/>
        <v>0</v>
      </c>
      <c r="J45" s="939">
        <f t="shared" si="10"/>
        <v>0</v>
      </c>
      <c r="K45" s="939"/>
      <c r="L45" s="939">
        <f t="shared" si="6"/>
        <v>0</v>
      </c>
    </row>
    <row r="46" spans="2:12" ht="15.75">
      <c r="B46" s="915" t="s">
        <v>583</v>
      </c>
      <c r="C46" s="915" t="str">
        <f t="shared" si="11"/>
        <v>Year 2020</v>
      </c>
      <c r="D46" s="915"/>
      <c r="E46" s="925">
        <f t="shared" si="7"/>
        <v>0</v>
      </c>
      <c r="F46" s="925"/>
      <c r="G46" s="940">
        <f t="shared" si="8"/>
        <v>4.0949999999999997E-3</v>
      </c>
      <c r="H46" s="915"/>
      <c r="I46" s="939">
        <f t="shared" si="9"/>
        <v>0</v>
      </c>
      <c r="J46" s="939">
        <f t="shared" si="10"/>
        <v>0</v>
      </c>
      <c r="K46" s="939"/>
      <c r="L46" s="939">
        <f t="shared" si="6"/>
        <v>0</v>
      </c>
    </row>
    <row r="47" spans="2:12" ht="15.75">
      <c r="B47" s="915" t="s">
        <v>584</v>
      </c>
      <c r="C47" s="915" t="str">
        <f t="shared" si="11"/>
        <v>Year 2020</v>
      </c>
      <c r="D47" s="915"/>
      <c r="E47" s="925">
        <f t="shared" si="7"/>
        <v>0</v>
      </c>
      <c r="F47" s="925"/>
      <c r="G47" s="940">
        <f t="shared" si="8"/>
        <v>4.0949999999999997E-3</v>
      </c>
      <c r="H47" s="915"/>
      <c r="I47" s="939">
        <f t="shared" si="9"/>
        <v>0</v>
      </c>
      <c r="J47" s="939">
        <f>J46</f>
        <v>0</v>
      </c>
      <c r="K47" s="939"/>
      <c r="L47" s="939">
        <f t="shared" si="6"/>
        <v>0</v>
      </c>
    </row>
    <row r="48" spans="2:12" ht="15.75">
      <c r="B48" s="915" t="s">
        <v>585</v>
      </c>
      <c r="C48" s="915" t="str">
        <f t="shared" si="11"/>
        <v>Year 2020</v>
      </c>
      <c r="D48" s="915"/>
      <c r="E48" s="925">
        <f t="shared" si="7"/>
        <v>0</v>
      </c>
      <c r="F48" s="925"/>
      <c r="G48" s="940">
        <f t="shared" si="8"/>
        <v>4.0949999999999997E-3</v>
      </c>
      <c r="H48" s="915"/>
      <c r="I48" s="939">
        <f t="shared" si="9"/>
        <v>0</v>
      </c>
      <c r="J48" s="939">
        <f t="shared" si="10"/>
        <v>0</v>
      </c>
      <c r="K48" s="939"/>
      <c r="L48" s="939">
        <f t="shared" si="6"/>
        <v>0</v>
      </c>
    </row>
    <row r="49" spans="2:12" ht="15.75">
      <c r="B49" s="915" t="s">
        <v>586</v>
      </c>
      <c r="C49" s="915" t="str">
        <f t="shared" si="11"/>
        <v>Year 2020</v>
      </c>
      <c r="D49" s="915"/>
      <c r="E49" s="925">
        <f t="shared" si="7"/>
        <v>0</v>
      </c>
      <c r="F49" s="925"/>
      <c r="G49" s="940">
        <f t="shared" si="8"/>
        <v>4.0949999999999997E-3</v>
      </c>
      <c r="H49" s="915"/>
      <c r="I49" s="939">
        <f t="shared" si="9"/>
        <v>0</v>
      </c>
      <c r="J49" s="939">
        <f t="shared" si="10"/>
        <v>0</v>
      </c>
      <c r="K49" s="939"/>
      <c r="L49" s="939">
        <f t="shared" si="6"/>
        <v>0</v>
      </c>
    </row>
    <row r="50" spans="2:12" ht="15.75">
      <c r="B50" s="915" t="s">
        <v>587</v>
      </c>
      <c r="C50" s="915" t="str">
        <f t="shared" si="11"/>
        <v>Year 2020</v>
      </c>
      <c r="D50" s="915"/>
      <c r="E50" s="925">
        <f t="shared" si="7"/>
        <v>0</v>
      </c>
      <c r="F50" s="925"/>
      <c r="G50" s="940">
        <f t="shared" si="8"/>
        <v>4.0949999999999997E-3</v>
      </c>
      <c r="H50" s="915"/>
      <c r="I50" s="941">
        <f t="shared" si="9"/>
        <v>0</v>
      </c>
      <c r="J50" s="939">
        <f t="shared" si="10"/>
        <v>0</v>
      </c>
      <c r="K50" s="939"/>
      <c r="L50" s="939">
        <f t="shared" si="6"/>
        <v>0</v>
      </c>
    </row>
    <row r="51" spans="2:12" ht="15.75">
      <c r="B51" s="915"/>
      <c r="C51" s="915"/>
      <c r="D51" s="915"/>
      <c r="E51" s="925"/>
      <c r="F51" s="925"/>
      <c r="G51" s="940"/>
      <c r="H51" s="915"/>
      <c r="I51" s="939">
        <f>SUM(I39:I50)</f>
        <v>0</v>
      </c>
      <c r="J51" s="939"/>
      <c r="K51" s="939"/>
      <c r="L51" s="939"/>
    </row>
    <row r="52" spans="2:12" ht="15">
      <c r="B52" s="390"/>
      <c r="C52" s="390"/>
      <c r="D52" s="390"/>
      <c r="E52" s="390"/>
      <c r="F52" s="390"/>
      <c r="G52" s="390"/>
      <c r="H52" s="390"/>
      <c r="I52" s="390"/>
      <c r="J52" s="946"/>
      <c r="K52" s="390"/>
      <c r="L52" s="390"/>
    </row>
    <row r="53" spans="2:12" ht="15.75">
      <c r="B53" s="915" t="s">
        <v>591</v>
      </c>
      <c r="C53" s="390"/>
      <c r="D53" s="390"/>
      <c r="E53" s="390"/>
      <c r="F53" s="390"/>
      <c r="G53" s="390"/>
      <c r="H53" s="390"/>
      <c r="I53" s="390"/>
      <c r="J53" s="947">
        <f>(SUM(J39:J50)*-1)</f>
        <v>0</v>
      </c>
      <c r="K53" s="390"/>
      <c r="L53" s="390"/>
    </row>
    <row r="54" spans="2:12" ht="15.75">
      <c r="B54" s="915" t="s">
        <v>592</v>
      </c>
      <c r="C54" s="390"/>
      <c r="D54" s="390"/>
      <c r="E54" s="390"/>
      <c r="F54" s="390"/>
      <c r="G54" s="390"/>
      <c r="H54" s="390"/>
      <c r="I54" s="390"/>
      <c r="J54" s="948">
        <f>+I10</f>
        <v>0</v>
      </c>
      <c r="K54" s="390"/>
      <c r="L54" s="390"/>
    </row>
    <row r="55" spans="2:12" ht="15.75">
      <c r="B55" s="915" t="s">
        <v>593</v>
      </c>
      <c r="C55" s="390"/>
      <c r="D55" s="390"/>
      <c r="E55" s="390"/>
      <c r="F55" s="390"/>
      <c r="G55" s="390"/>
      <c r="H55" s="390"/>
      <c r="I55" s="390"/>
      <c r="J55" s="947">
        <f>(J53+J54)</f>
        <v>0</v>
      </c>
      <c r="K55" s="390"/>
      <c r="L55" s="390"/>
    </row>
    <row r="56" spans="2:12">
      <c r="B56" s="389"/>
      <c r="C56" s="389"/>
      <c r="D56" s="389"/>
      <c r="E56" s="389"/>
      <c r="F56" s="389"/>
      <c r="G56" s="389"/>
      <c r="H56" s="389"/>
      <c r="I56" s="389"/>
      <c r="J56" s="389"/>
      <c r="K56" s="389"/>
      <c r="L56" s="389"/>
    </row>
    <row r="57" spans="2:12" ht="52.9" customHeight="1">
      <c r="B57" s="1601" t="s">
        <v>594</v>
      </c>
      <c r="C57" s="1601"/>
      <c r="D57" s="1601"/>
      <c r="E57" s="1601"/>
      <c r="F57" s="1601"/>
      <c r="G57" s="1601"/>
      <c r="H57" s="1601"/>
      <c r="I57" s="1601"/>
      <c r="J57" s="1601"/>
      <c r="K57" s="1314"/>
      <c r="L57" s="1314"/>
    </row>
  </sheetData>
  <mergeCells count="5">
    <mergeCell ref="B3:L3"/>
    <mergeCell ref="B1:L1"/>
    <mergeCell ref="B2:L2"/>
    <mergeCell ref="E4:H4"/>
    <mergeCell ref="B57:J57"/>
  </mergeCells>
  <pageMargins left="0.7" right="0.7" top="0.75" bottom="0.75" header="0.3" footer="0.3"/>
  <pageSetup scale="5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L57"/>
  <sheetViews>
    <sheetView view="pageBreakPreview" zoomScale="60" zoomScaleNormal="100" workbookViewId="0">
      <selection activeCell="B8" sqref="B8:E8"/>
    </sheetView>
  </sheetViews>
  <sheetFormatPr defaultRowHeight="12.75"/>
  <cols>
    <col min="2" max="2" width="30.140625" customWidth="1"/>
    <col min="5" max="5" width="24.140625" customWidth="1"/>
    <col min="7" max="7" width="14.85546875" customWidth="1"/>
    <col min="9" max="9" width="22.28515625" customWidth="1"/>
    <col min="10" max="10" width="18" customWidth="1"/>
    <col min="12" max="12" width="18.42578125" customWidth="1"/>
  </cols>
  <sheetData>
    <row r="1" spans="1:12" ht="15.75">
      <c r="A1" s="173"/>
      <c r="B1" s="1600" t="s">
        <v>618</v>
      </c>
      <c r="C1" s="1600"/>
      <c r="D1" s="1600"/>
      <c r="E1" s="1600"/>
      <c r="F1" s="1600"/>
      <c r="G1" s="1600"/>
      <c r="H1" s="1600"/>
      <c r="I1" s="1600"/>
      <c r="J1" s="1600"/>
      <c r="K1" s="1600"/>
      <c r="L1" s="1600"/>
    </row>
    <row r="2" spans="1:12" ht="15.75">
      <c r="A2" s="173"/>
      <c r="B2" s="1599" t="s">
        <v>565</v>
      </c>
      <c r="C2" s="1599"/>
      <c r="D2" s="1599"/>
      <c r="E2" s="1599"/>
      <c r="F2" s="1599"/>
      <c r="G2" s="1599"/>
      <c r="H2" s="1599"/>
      <c r="I2" s="1599"/>
      <c r="J2" s="1599"/>
      <c r="K2" s="1599"/>
      <c r="L2" s="1599"/>
    </row>
    <row r="3" spans="1:12" ht="15.75">
      <c r="A3" s="173"/>
      <c r="B3" s="1599" t="s">
        <v>595</v>
      </c>
      <c r="C3" s="1599"/>
      <c r="D3" s="1599"/>
      <c r="E3" s="1599"/>
      <c r="F3" s="1599"/>
      <c r="G3" s="1599"/>
      <c r="H3" s="1599"/>
      <c r="I3" s="1599"/>
      <c r="J3" s="1599"/>
      <c r="K3" s="1599"/>
      <c r="L3" s="1599"/>
    </row>
    <row r="4" spans="1:12" ht="15.75">
      <c r="A4" s="173"/>
      <c r="B4" s="390"/>
      <c r="C4" s="390"/>
      <c r="D4" s="390"/>
      <c r="E4" s="1599"/>
      <c r="F4" s="1599"/>
      <c r="G4" s="1599"/>
      <c r="H4" s="1599"/>
      <c r="I4" s="390"/>
      <c r="J4" s="390"/>
      <c r="K4" s="390"/>
      <c r="L4" s="390"/>
    </row>
    <row r="5" spans="1:12">
      <c r="A5" s="173"/>
      <c r="B5" s="389"/>
      <c r="C5" s="389"/>
      <c r="D5" s="389"/>
      <c r="E5" s="389"/>
      <c r="F5" s="389"/>
      <c r="G5" s="389"/>
      <c r="H5" s="389"/>
      <c r="I5" s="389"/>
      <c r="J5" s="389"/>
      <c r="K5" s="389"/>
      <c r="L5" s="389"/>
    </row>
    <row r="6" spans="1:12">
      <c r="A6" s="173"/>
      <c r="B6" s="389"/>
      <c r="C6" s="389"/>
      <c r="D6" s="389"/>
      <c r="E6" s="389"/>
      <c r="F6" s="389"/>
      <c r="G6" s="389"/>
      <c r="H6" s="389"/>
      <c r="I6" s="389"/>
      <c r="J6" s="389"/>
      <c r="K6" s="389"/>
      <c r="L6" s="389"/>
    </row>
    <row r="7" spans="1:12" ht="16.5" thickBot="1">
      <c r="A7" s="173"/>
      <c r="B7" s="914"/>
      <c r="C7" s="915"/>
      <c r="D7" s="915"/>
      <c r="E7" s="915"/>
      <c r="F7" s="915"/>
      <c r="G7" s="915"/>
      <c r="H7" s="915"/>
      <c r="I7" s="915"/>
      <c r="J7" s="915"/>
      <c r="K7" s="915"/>
      <c r="L7" s="915"/>
    </row>
    <row r="8" spans="1:12" ht="47.25">
      <c r="A8" s="173"/>
      <c r="B8" s="916" t="str">
        <f>"Reconciliation Revenue Requirement For Year 2021 Available May 25, 2022"</f>
        <v>Reconciliation Revenue Requirement For Year 2021 Available May 25, 2022</v>
      </c>
      <c r="C8" s="915"/>
      <c r="D8" s="915"/>
      <c r="E8" s="916" t="s">
        <v>976</v>
      </c>
      <c r="F8" s="915"/>
      <c r="G8" s="915"/>
      <c r="H8" s="390"/>
      <c r="I8" s="916" t="s">
        <v>567</v>
      </c>
      <c r="J8" s="390"/>
      <c r="K8" s="390"/>
      <c r="L8" s="390"/>
    </row>
    <row r="9" spans="1:12" ht="15.75">
      <c r="A9" s="173"/>
      <c r="B9" s="917" t="s">
        <v>416</v>
      </c>
      <c r="C9" s="915"/>
      <c r="D9" s="915"/>
      <c r="E9" s="917"/>
      <c r="F9" s="915"/>
      <c r="G9" s="915"/>
      <c r="H9" s="390"/>
      <c r="I9" s="918"/>
      <c r="J9" s="390"/>
      <c r="K9" s="390"/>
      <c r="L9" s="390"/>
    </row>
    <row r="10" spans="1:12" ht="16.5" thickBot="1">
      <c r="A10" s="173"/>
      <c r="B10" s="913">
        <v>0</v>
      </c>
      <c r="C10" s="919" t="str">
        <f>"-"</f>
        <v>-</v>
      </c>
      <c r="D10" s="920"/>
      <c r="E10" s="913">
        <v>0</v>
      </c>
      <c r="F10" s="921"/>
      <c r="G10" s="922" t="str">
        <f>"="</f>
        <v>=</v>
      </c>
      <c r="H10" s="923"/>
      <c r="I10" s="924">
        <f>IF(B10=0,0,E10-B10)</f>
        <v>0</v>
      </c>
      <c r="J10" s="390"/>
      <c r="K10" s="390"/>
      <c r="L10" s="390"/>
    </row>
    <row r="11" spans="1:12" ht="15.75">
      <c r="A11" s="173"/>
      <c r="B11" s="925"/>
      <c r="C11" s="926"/>
      <c r="D11" s="926"/>
      <c r="E11" s="925"/>
      <c r="F11" s="925"/>
      <c r="G11" s="926"/>
      <c r="H11" s="925"/>
      <c r="I11" s="390"/>
      <c r="J11" s="390"/>
      <c r="K11" s="390"/>
      <c r="L11" s="390"/>
    </row>
    <row r="12" spans="1:12" ht="16.5" thickBot="1">
      <c r="A12" s="173"/>
      <c r="B12" s="927"/>
      <c r="C12" s="928"/>
      <c r="D12" s="928"/>
      <c r="E12" s="927"/>
      <c r="F12" s="927"/>
      <c r="G12" s="928"/>
      <c r="H12" s="927"/>
      <c r="I12" s="929"/>
      <c r="J12" s="929"/>
      <c r="K12" s="929"/>
      <c r="L12" s="929"/>
    </row>
    <row r="13" spans="1:12" ht="15.75">
      <c r="A13" s="173"/>
      <c r="B13" s="930"/>
      <c r="C13" s="926"/>
      <c r="D13" s="926"/>
      <c r="E13" s="925"/>
      <c r="F13" s="925"/>
      <c r="G13" s="926"/>
      <c r="H13" s="925"/>
      <c r="I13" s="390"/>
      <c r="J13" s="390"/>
      <c r="K13" s="390"/>
      <c r="L13" s="390"/>
    </row>
    <row r="14" spans="1:12" ht="47.25">
      <c r="A14" s="173"/>
      <c r="B14" s="931" t="s">
        <v>624</v>
      </c>
      <c r="C14" s="926"/>
      <c r="D14" s="926"/>
      <c r="E14" s="932" t="s">
        <v>568</v>
      </c>
      <c r="F14" s="925"/>
      <c r="G14" s="932" t="s">
        <v>569</v>
      </c>
      <c r="H14" s="933" t="s">
        <v>570</v>
      </c>
      <c r="I14" s="934" t="s">
        <v>571</v>
      </c>
      <c r="J14" s="932" t="s">
        <v>572</v>
      </c>
      <c r="K14" s="935"/>
      <c r="L14" s="932" t="s">
        <v>573</v>
      </c>
    </row>
    <row r="15" spans="1:12" ht="15.75">
      <c r="A15" s="173"/>
      <c r="B15" s="931" t="s">
        <v>826</v>
      </c>
      <c r="C15" s="926"/>
      <c r="D15" s="926"/>
      <c r="E15" s="390"/>
      <c r="F15" s="936"/>
      <c r="G15" s="949">
        <f>'WS R Interest'!G15</f>
        <v>4.0949999999999997E-3</v>
      </c>
      <c r="H15" s="173"/>
      <c r="I15" s="390"/>
      <c r="J15" s="390"/>
      <c r="K15" s="390"/>
      <c r="L15" s="390"/>
    </row>
    <row r="16" spans="1:12" ht="15.75">
      <c r="A16" s="173"/>
      <c r="B16" s="931"/>
      <c r="C16" s="926"/>
      <c r="D16" s="926"/>
      <c r="E16" s="390"/>
      <c r="F16" s="936"/>
      <c r="G16" s="936"/>
      <c r="H16" s="925"/>
      <c r="I16" s="390"/>
      <c r="J16" s="390"/>
      <c r="K16" s="390"/>
      <c r="L16" s="390"/>
    </row>
    <row r="17" spans="1:12" ht="15.75">
      <c r="A17" s="173"/>
      <c r="B17" s="931" t="s">
        <v>954</v>
      </c>
      <c r="C17" s="926"/>
      <c r="D17" s="926"/>
      <c r="E17" s="390"/>
      <c r="F17" s="936"/>
      <c r="G17" s="936"/>
      <c r="H17" s="925"/>
      <c r="I17" s="390"/>
      <c r="J17" s="390"/>
      <c r="K17" s="390"/>
      <c r="L17" s="390"/>
    </row>
    <row r="18" spans="1:12" ht="15.75">
      <c r="A18" s="173"/>
      <c r="B18" s="937" t="s">
        <v>416</v>
      </c>
      <c r="C18" s="926"/>
      <c r="D18" s="926"/>
      <c r="E18" s="926"/>
      <c r="F18" s="926"/>
      <c r="G18" s="926" t="s">
        <v>416</v>
      </c>
      <c r="H18" s="390"/>
      <c r="I18" s="390"/>
      <c r="J18" s="390"/>
      <c r="K18" s="390"/>
      <c r="L18" s="390"/>
    </row>
    <row r="19" spans="1:12" ht="15.75">
      <c r="A19" s="173"/>
      <c r="B19" s="938"/>
      <c r="C19" s="926"/>
      <c r="D19" s="926"/>
      <c r="E19" s="926"/>
      <c r="F19" s="926"/>
      <c r="G19" s="390"/>
      <c r="H19" s="390"/>
      <c r="I19" s="933"/>
      <c r="J19" s="926"/>
      <c r="K19" s="926"/>
      <c r="L19" s="926"/>
    </row>
    <row r="20" spans="1:12" ht="15.75">
      <c r="A20" s="173"/>
      <c r="B20" s="938" t="s">
        <v>574</v>
      </c>
      <c r="C20" s="926"/>
      <c r="D20" s="926"/>
      <c r="E20" s="926"/>
      <c r="F20" s="926"/>
      <c r="G20" s="390"/>
      <c r="H20" s="390"/>
      <c r="I20" s="933" t="s">
        <v>575</v>
      </c>
      <c r="J20" s="926"/>
      <c r="K20" s="926"/>
      <c r="L20" s="926"/>
    </row>
    <row r="21" spans="1:12" ht="15.75">
      <c r="A21" s="173"/>
      <c r="B21" s="915" t="s">
        <v>576</v>
      </c>
      <c r="C21" s="915" t="str">
        <f>"Year 2018"</f>
        <v>Year 2018</v>
      </c>
      <c r="D21" s="915"/>
      <c r="E21" s="939">
        <f>I10/12</f>
        <v>0</v>
      </c>
      <c r="F21" s="939"/>
      <c r="G21" s="940">
        <f>+G15</f>
        <v>4.0949999999999997E-3</v>
      </c>
      <c r="H21" s="1312">
        <v>12</v>
      </c>
      <c r="I21" s="939">
        <f>G21*E21*H21*-1</f>
        <v>0</v>
      </c>
      <c r="J21" s="939"/>
      <c r="K21" s="939"/>
      <c r="L21" s="939">
        <f>(-I21+E21)*-1</f>
        <v>0</v>
      </c>
    </row>
    <row r="22" spans="1:12" ht="15.75">
      <c r="A22" s="173"/>
      <c r="B22" s="915" t="s">
        <v>577</v>
      </c>
      <c r="C22" s="915" t="str">
        <f>C21</f>
        <v>Year 2018</v>
      </c>
      <c r="D22" s="915"/>
      <c r="E22" s="939">
        <f>+E21</f>
        <v>0</v>
      </c>
      <c r="F22" s="939"/>
      <c r="G22" s="940">
        <f>+G21</f>
        <v>4.0949999999999997E-3</v>
      </c>
      <c r="H22" s="1312">
        <f t="shared" ref="H22:H32" si="0">+H21-1</f>
        <v>11</v>
      </c>
      <c r="I22" s="939">
        <f t="shared" ref="I22:I32" si="1">G22*E22*H22*-1</f>
        <v>0</v>
      </c>
      <c r="J22" s="939"/>
      <c r="K22" s="939"/>
      <c r="L22" s="939">
        <f t="shared" ref="L22:L32" si="2">(-I22+E22)*-1</f>
        <v>0</v>
      </c>
    </row>
    <row r="23" spans="1:12" ht="15.75">
      <c r="A23" s="173"/>
      <c r="B23" s="915" t="s">
        <v>578</v>
      </c>
      <c r="C23" s="915" t="str">
        <f t="shared" ref="C23:C32" si="3">C22</f>
        <v>Year 2018</v>
      </c>
      <c r="D23" s="915"/>
      <c r="E23" s="939">
        <f t="shared" ref="E23:E32" si="4">+E22</f>
        <v>0</v>
      </c>
      <c r="F23" s="939"/>
      <c r="G23" s="940">
        <f t="shared" ref="G23:G32" si="5">+G22</f>
        <v>4.0949999999999997E-3</v>
      </c>
      <c r="H23" s="1312">
        <f t="shared" si="0"/>
        <v>10</v>
      </c>
      <c r="I23" s="939">
        <f t="shared" si="1"/>
        <v>0</v>
      </c>
      <c r="J23" s="939"/>
      <c r="K23" s="939"/>
      <c r="L23" s="939">
        <f t="shared" si="2"/>
        <v>0</v>
      </c>
    </row>
    <row r="24" spans="1:12" ht="15.75">
      <c r="A24" s="173"/>
      <c r="B24" s="915" t="s">
        <v>579</v>
      </c>
      <c r="C24" s="915" t="str">
        <f t="shared" si="3"/>
        <v>Year 2018</v>
      </c>
      <c r="D24" s="915"/>
      <c r="E24" s="939">
        <f t="shared" si="4"/>
        <v>0</v>
      </c>
      <c r="F24" s="939"/>
      <c r="G24" s="940">
        <f t="shared" si="5"/>
        <v>4.0949999999999997E-3</v>
      </c>
      <c r="H24" s="1312">
        <f t="shared" si="0"/>
        <v>9</v>
      </c>
      <c r="I24" s="939">
        <f t="shared" si="1"/>
        <v>0</v>
      </c>
      <c r="J24" s="939"/>
      <c r="K24" s="939"/>
      <c r="L24" s="939">
        <f t="shared" si="2"/>
        <v>0</v>
      </c>
    </row>
    <row r="25" spans="1:12" ht="15.75">
      <c r="A25" s="173"/>
      <c r="B25" s="915" t="s">
        <v>580</v>
      </c>
      <c r="C25" s="915" t="str">
        <f t="shared" si="3"/>
        <v>Year 2018</v>
      </c>
      <c r="D25" s="915"/>
      <c r="E25" s="939">
        <f t="shared" si="4"/>
        <v>0</v>
      </c>
      <c r="F25" s="939"/>
      <c r="G25" s="940">
        <f t="shared" si="5"/>
        <v>4.0949999999999997E-3</v>
      </c>
      <c r="H25" s="1312">
        <f t="shared" si="0"/>
        <v>8</v>
      </c>
      <c r="I25" s="939">
        <f t="shared" si="1"/>
        <v>0</v>
      </c>
      <c r="J25" s="939"/>
      <c r="K25" s="939"/>
      <c r="L25" s="939">
        <f t="shared" si="2"/>
        <v>0</v>
      </c>
    </row>
    <row r="26" spans="1:12" ht="15.75">
      <c r="A26" s="173"/>
      <c r="B26" s="915" t="s">
        <v>581</v>
      </c>
      <c r="C26" s="915" t="str">
        <f t="shared" si="3"/>
        <v>Year 2018</v>
      </c>
      <c r="D26" s="915"/>
      <c r="E26" s="939">
        <f t="shared" si="4"/>
        <v>0</v>
      </c>
      <c r="F26" s="939"/>
      <c r="G26" s="940">
        <f t="shared" si="5"/>
        <v>4.0949999999999997E-3</v>
      </c>
      <c r="H26" s="1312">
        <f t="shared" si="0"/>
        <v>7</v>
      </c>
      <c r="I26" s="939">
        <f t="shared" si="1"/>
        <v>0</v>
      </c>
      <c r="J26" s="939"/>
      <c r="K26" s="939"/>
      <c r="L26" s="939">
        <f t="shared" si="2"/>
        <v>0</v>
      </c>
    </row>
    <row r="27" spans="1:12" ht="15.75">
      <c r="A27" s="173"/>
      <c r="B27" s="915" t="s">
        <v>582</v>
      </c>
      <c r="C27" s="915" t="str">
        <f t="shared" si="3"/>
        <v>Year 2018</v>
      </c>
      <c r="D27" s="915"/>
      <c r="E27" s="939">
        <f t="shared" si="4"/>
        <v>0</v>
      </c>
      <c r="F27" s="939"/>
      <c r="G27" s="940">
        <f t="shared" si="5"/>
        <v>4.0949999999999997E-3</v>
      </c>
      <c r="H27" s="1312">
        <f t="shared" si="0"/>
        <v>6</v>
      </c>
      <c r="I27" s="939">
        <f t="shared" si="1"/>
        <v>0</v>
      </c>
      <c r="J27" s="939"/>
      <c r="K27" s="939"/>
      <c r="L27" s="939">
        <f t="shared" si="2"/>
        <v>0</v>
      </c>
    </row>
    <row r="28" spans="1:12" ht="15.75">
      <c r="A28" s="173"/>
      <c r="B28" s="915" t="s">
        <v>583</v>
      </c>
      <c r="C28" s="915" t="str">
        <f t="shared" si="3"/>
        <v>Year 2018</v>
      </c>
      <c r="D28" s="915"/>
      <c r="E28" s="939">
        <f t="shared" si="4"/>
        <v>0</v>
      </c>
      <c r="F28" s="939"/>
      <c r="G28" s="940">
        <f t="shared" si="5"/>
        <v>4.0949999999999997E-3</v>
      </c>
      <c r="H28" s="1312">
        <f t="shared" si="0"/>
        <v>5</v>
      </c>
      <c r="I28" s="939">
        <f t="shared" si="1"/>
        <v>0</v>
      </c>
      <c r="J28" s="939"/>
      <c r="K28" s="939"/>
      <c r="L28" s="939">
        <f t="shared" si="2"/>
        <v>0</v>
      </c>
    </row>
    <row r="29" spans="1:12" ht="15.75">
      <c r="A29" s="173"/>
      <c r="B29" s="915" t="s">
        <v>584</v>
      </c>
      <c r="C29" s="915" t="str">
        <f t="shared" si="3"/>
        <v>Year 2018</v>
      </c>
      <c r="D29" s="915"/>
      <c r="E29" s="939">
        <f t="shared" si="4"/>
        <v>0</v>
      </c>
      <c r="F29" s="939"/>
      <c r="G29" s="940">
        <f t="shared" si="5"/>
        <v>4.0949999999999997E-3</v>
      </c>
      <c r="H29" s="1312">
        <f t="shared" si="0"/>
        <v>4</v>
      </c>
      <c r="I29" s="939">
        <f t="shared" si="1"/>
        <v>0</v>
      </c>
      <c r="J29" s="939"/>
      <c r="K29" s="939"/>
      <c r="L29" s="939">
        <f t="shared" si="2"/>
        <v>0</v>
      </c>
    </row>
    <row r="30" spans="1:12" ht="15.75">
      <c r="A30" s="173"/>
      <c r="B30" s="915" t="s">
        <v>585</v>
      </c>
      <c r="C30" s="915" t="str">
        <f t="shared" si="3"/>
        <v>Year 2018</v>
      </c>
      <c r="D30" s="915"/>
      <c r="E30" s="939">
        <f t="shared" si="4"/>
        <v>0</v>
      </c>
      <c r="F30" s="939"/>
      <c r="G30" s="940">
        <f t="shared" si="5"/>
        <v>4.0949999999999997E-3</v>
      </c>
      <c r="H30" s="1312">
        <f t="shared" si="0"/>
        <v>3</v>
      </c>
      <c r="I30" s="939">
        <f t="shared" si="1"/>
        <v>0</v>
      </c>
      <c r="J30" s="939"/>
      <c r="K30" s="939"/>
      <c r="L30" s="939">
        <f t="shared" si="2"/>
        <v>0</v>
      </c>
    </row>
    <row r="31" spans="1:12" ht="15.75">
      <c r="A31" s="173"/>
      <c r="B31" s="915" t="s">
        <v>586</v>
      </c>
      <c r="C31" s="915" t="str">
        <f t="shared" si="3"/>
        <v>Year 2018</v>
      </c>
      <c r="D31" s="915"/>
      <c r="E31" s="939">
        <f t="shared" si="4"/>
        <v>0</v>
      </c>
      <c r="F31" s="939"/>
      <c r="G31" s="940">
        <f t="shared" si="5"/>
        <v>4.0949999999999997E-3</v>
      </c>
      <c r="H31" s="1312">
        <f t="shared" si="0"/>
        <v>2</v>
      </c>
      <c r="I31" s="939">
        <f t="shared" si="1"/>
        <v>0</v>
      </c>
      <c r="J31" s="939"/>
      <c r="K31" s="939"/>
      <c r="L31" s="939">
        <f t="shared" si="2"/>
        <v>0</v>
      </c>
    </row>
    <row r="32" spans="1:12" ht="15.75">
      <c r="A32" s="173"/>
      <c r="B32" s="915" t="s">
        <v>587</v>
      </c>
      <c r="C32" s="915" t="str">
        <f t="shared" si="3"/>
        <v>Year 2018</v>
      </c>
      <c r="D32" s="915"/>
      <c r="E32" s="939">
        <f t="shared" si="4"/>
        <v>0</v>
      </c>
      <c r="F32" s="939"/>
      <c r="G32" s="940">
        <f t="shared" si="5"/>
        <v>4.0949999999999997E-3</v>
      </c>
      <c r="H32" s="1312">
        <f t="shared" si="0"/>
        <v>1</v>
      </c>
      <c r="I32" s="941">
        <f t="shared" si="1"/>
        <v>0</v>
      </c>
      <c r="J32" s="939"/>
      <c r="K32" s="939"/>
      <c r="L32" s="939">
        <f t="shared" si="2"/>
        <v>0</v>
      </c>
    </row>
    <row r="33" spans="1:12" ht="15.75">
      <c r="A33" s="173"/>
      <c r="B33" s="915"/>
      <c r="C33" s="915"/>
      <c r="D33" s="915"/>
      <c r="E33" s="939"/>
      <c r="F33" s="939"/>
      <c r="G33" s="940"/>
      <c r="H33" s="926"/>
      <c r="I33" s="939">
        <f>SUM(I21:I32)</f>
        <v>0</v>
      </c>
      <c r="J33" s="939"/>
      <c r="K33" s="939"/>
      <c r="L33" s="942">
        <f>SUM(L21:L32)</f>
        <v>0</v>
      </c>
    </row>
    <row r="34" spans="1:12" ht="15.75">
      <c r="A34" s="173"/>
      <c r="B34" s="915"/>
      <c r="C34" s="915"/>
      <c r="D34" s="915"/>
      <c r="E34" s="939"/>
      <c r="F34" s="939"/>
      <c r="G34" s="940"/>
      <c r="H34" s="926"/>
      <c r="I34" s="939"/>
      <c r="J34" s="939" t="s">
        <v>416</v>
      </c>
      <c r="K34" s="939"/>
      <c r="L34" s="390"/>
    </row>
    <row r="35" spans="1:12" ht="15.75">
      <c r="A35" s="173"/>
      <c r="B35" s="915"/>
      <c r="C35" s="915"/>
      <c r="D35" s="915"/>
      <c r="E35" s="925"/>
      <c r="F35" s="925"/>
      <c r="G35" s="940"/>
      <c r="H35" s="926"/>
      <c r="I35" s="943" t="s">
        <v>588</v>
      </c>
      <c r="J35" s="939"/>
      <c r="K35" s="939"/>
      <c r="L35" s="939"/>
    </row>
    <row r="36" spans="1:12" ht="15.75">
      <c r="A36" s="173"/>
      <c r="B36" s="915" t="s">
        <v>589</v>
      </c>
      <c r="C36" s="915" t="str">
        <f>"Year 2019"</f>
        <v>Year 2019</v>
      </c>
      <c r="D36" s="915"/>
      <c r="E36" s="925">
        <f>L33</f>
        <v>0</v>
      </c>
      <c r="F36" s="925"/>
      <c r="G36" s="940">
        <f>+G32</f>
        <v>4.0949999999999997E-3</v>
      </c>
      <c r="H36" s="1312">
        <v>12</v>
      </c>
      <c r="I36" s="939">
        <f>+H36*G36*E36</f>
        <v>0</v>
      </c>
      <c r="J36" s="939"/>
      <c r="K36" s="939"/>
      <c r="L36" s="942">
        <f>+E36+I36</f>
        <v>0</v>
      </c>
    </row>
    <row r="37" spans="1:12" ht="15.75">
      <c r="A37" s="173"/>
      <c r="B37" s="915"/>
      <c r="C37" s="915"/>
      <c r="D37" s="915"/>
      <c r="E37" s="925"/>
      <c r="F37" s="925"/>
      <c r="G37" s="940"/>
      <c r="H37" s="915"/>
      <c r="I37" s="939"/>
      <c r="J37" s="939"/>
      <c r="K37" s="939"/>
      <c r="L37" s="939"/>
    </row>
    <row r="38" spans="1:12" ht="15.75">
      <c r="A38" s="173"/>
      <c r="B38" s="944" t="s">
        <v>590</v>
      </c>
      <c r="C38" s="915"/>
      <c r="D38" s="915"/>
      <c r="E38" s="939"/>
      <c r="F38" s="939"/>
      <c r="G38" s="940"/>
      <c r="H38" s="915"/>
      <c r="I38" s="943" t="s">
        <v>575</v>
      </c>
      <c r="J38" s="939"/>
      <c r="K38" s="939"/>
      <c r="L38" s="939"/>
    </row>
    <row r="39" spans="1:12" ht="15.75">
      <c r="A39" s="173"/>
      <c r="B39" s="915" t="s">
        <v>576</v>
      </c>
      <c r="C39" s="915" t="str">
        <f>"Year 2020"</f>
        <v>Year 2020</v>
      </c>
      <c r="D39" s="915"/>
      <c r="E39" s="945">
        <f>-L36</f>
        <v>0</v>
      </c>
      <c r="F39" s="925"/>
      <c r="G39" s="940">
        <f>+G32</f>
        <v>4.0949999999999997E-3</v>
      </c>
      <c r="H39" s="915"/>
      <c r="I39" s="939">
        <f xml:space="preserve"> -G39*E39</f>
        <v>0</v>
      </c>
      <c r="J39" s="939">
        <f>PMT(G39,12,L$36)</f>
        <v>0</v>
      </c>
      <c r="K39" s="939"/>
      <c r="L39" s="939">
        <f>(+E39+E39*G39-J39)*-1</f>
        <v>0</v>
      </c>
    </row>
    <row r="40" spans="1:12" ht="15.75">
      <c r="A40" s="173"/>
      <c r="B40" s="915" t="s">
        <v>577</v>
      </c>
      <c r="C40" s="915" t="str">
        <f>+C39</f>
        <v>Year 2020</v>
      </c>
      <c r="D40" s="915"/>
      <c r="E40" s="925">
        <f>-L39</f>
        <v>0</v>
      </c>
      <c r="F40" s="925"/>
      <c r="G40" s="940">
        <f>+G39</f>
        <v>4.0949999999999997E-3</v>
      </c>
      <c r="H40" s="915"/>
      <c r="I40" s="939">
        <f xml:space="preserve"> -G40*E40</f>
        <v>0</v>
      </c>
      <c r="J40" s="939">
        <f>J39</f>
        <v>0</v>
      </c>
      <c r="K40" s="939"/>
      <c r="L40" s="939">
        <f t="shared" ref="L40:L50" si="6">(+E40+E40*G40-J40)*-1</f>
        <v>0</v>
      </c>
    </row>
    <row r="41" spans="1:12" ht="15.75">
      <c r="A41" s="173"/>
      <c r="B41" s="915" t="s">
        <v>578</v>
      </c>
      <c r="C41" s="915" t="str">
        <f>+C40</f>
        <v>Year 2020</v>
      </c>
      <c r="D41" s="915"/>
      <c r="E41" s="925">
        <f t="shared" ref="E41:E50" si="7">-L40</f>
        <v>0</v>
      </c>
      <c r="F41" s="925"/>
      <c r="G41" s="940">
        <f t="shared" ref="G41:G50" si="8">+G40</f>
        <v>4.0949999999999997E-3</v>
      </c>
      <c r="H41" s="915"/>
      <c r="I41" s="939">
        <f t="shared" ref="I41:I50" si="9" xml:space="preserve"> -G41*E41</f>
        <v>0</v>
      </c>
      <c r="J41" s="939">
        <f t="shared" ref="J41:J50" si="10">J40</f>
        <v>0</v>
      </c>
      <c r="K41" s="939"/>
      <c r="L41" s="939">
        <f t="shared" si="6"/>
        <v>0</v>
      </c>
    </row>
    <row r="42" spans="1:12" ht="15.75">
      <c r="A42" s="173"/>
      <c r="B42" s="915" t="s">
        <v>579</v>
      </c>
      <c r="C42" s="915" t="str">
        <f>+C41</f>
        <v>Year 2020</v>
      </c>
      <c r="D42" s="915"/>
      <c r="E42" s="925">
        <f t="shared" si="7"/>
        <v>0</v>
      </c>
      <c r="F42" s="925"/>
      <c r="G42" s="940">
        <f t="shared" si="8"/>
        <v>4.0949999999999997E-3</v>
      </c>
      <c r="H42" s="915"/>
      <c r="I42" s="939">
        <f t="shared" si="9"/>
        <v>0</v>
      </c>
      <c r="J42" s="939">
        <f t="shared" si="10"/>
        <v>0</v>
      </c>
      <c r="K42" s="939"/>
      <c r="L42" s="939">
        <f t="shared" si="6"/>
        <v>0</v>
      </c>
    </row>
    <row r="43" spans="1:12" ht="15.75">
      <c r="A43" s="173"/>
      <c r="B43" s="915" t="s">
        <v>580</v>
      </c>
      <c r="C43" s="915" t="str">
        <f>+C42</f>
        <v>Year 2020</v>
      </c>
      <c r="D43" s="915"/>
      <c r="E43" s="925">
        <f t="shared" si="7"/>
        <v>0</v>
      </c>
      <c r="F43" s="925"/>
      <c r="G43" s="940">
        <f t="shared" si="8"/>
        <v>4.0949999999999997E-3</v>
      </c>
      <c r="H43" s="915"/>
      <c r="I43" s="939">
        <f t="shared" si="9"/>
        <v>0</v>
      </c>
      <c r="J43" s="939">
        <f>J42</f>
        <v>0</v>
      </c>
      <c r="K43" s="939"/>
      <c r="L43" s="939">
        <f t="shared" si="6"/>
        <v>0</v>
      </c>
    </row>
    <row r="44" spans="1:12" ht="15.75">
      <c r="A44" s="173"/>
      <c r="B44" s="915" t="s">
        <v>581</v>
      </c>
      <c r="C44" s="915" t="str">
        <f>C43</f>
        <v>Year 2020</v>
      </c>
      <c r="D44" s="390"/>
      <c r="E44" s="925">
        <f t="shared" si="7"/>
        <v>0</v>
      </c>
      <c r="F44" s="925"/>
      <c r="G44" s="940">
        <f t="shared" si="8"/>
        <v>4.0949999999999997E-3</v>
      </c>
      <c r="H44" s="915"/>
      <c r="I44" s="939">
        <f t="shared" si="9"/>
        <v>0</v>
      </c>
      <c r="J44" s="939">
        <f t="shared" si="10"/>
        <v>0</v>
      </c>
      <c r="K44" s="939"/>
      <c r="L44" s="939">
        <f t="shared" si="6"/>
        <v>0</v>
      </c>
    </row>
    <row r="45" spans="1:12" ht="15.75">
      <c r="A45" s="173"/>
      <c r="B45" s="915" t="s">
        <v>582</v>
      </c>
      <c r="C45" s="915" t="str">
        <f t="shared" ref="C45:C50" si="11">+C44</f>
        <v>Year 2020</v>
      </c>
      <c r="D45" s="915"/>
      <c r="E45" s="925">
        <f t="shared" si="7"/>
        <v>0</v>
      </c>
      <c r="F45" s="925"/>
      <c r="G45" s="940">
        <f t="shared" si="8"/>
        <v>4.0949999999999997E-3</v>
      </c>
      <c r="H45" s="915"/>
      <c r="I45" s="939">
        <f t="shared" si="9"/>
        <v>0</v>
      </c>
      <c r="J45" s="939">
        <f t="shared" si="10"/>
        <v>0</v>
      </c>
      <c r="K45" s="939"/>
      <c r="L45" s="939">
        <f t="shared" si="6"/>
        <v>0</v>
      </c>
    </row>
    <row r="46" spans="1:12" ht="15.75">
      <c r="A46" s="173"/>
      <c r="B46" s="915" t="s">
        <v>583</v>
      </c>
      <c r="C46" s="915" t="str">
        <f t="shared" si="11"/>
        <v>Year 2020</v>
      </c>
      <c r="D46" s="915"/>
      <c r="E46" s="925">
        <f t="shared" si="7"/>
        <v>0</v>
      </c>
      <c r="F46" s="925"/>
      <c r="G46" s="940">
        <f t="shared" si="8"/>
        <v>4.0949999999999997E-3</v>
      </c>
      <c r="H46" s="915"/>
      <c r="I46" s="939">
        <f t="shared" si="9"/>
        <v>0</v>
      </c>
      <c r="J46" s="939">
        <f t="shared" si="10"/>
        <v>0</v>
      </c>
      <c r="K46" s="939"/>
      <c r="L46" s="939">
        <f t="shared" si="6"/>
        <v>0</v>
      </c>
    </row>
    <row r="47" spans="1:12" ht="15.75">
      <c r="A47" s="173"/>
      <c r="B47" s="915" t="s">
        <v>584</v>
      </c>
      <c r="C47" s="915" t="str">
        <f t="shared" si="11"/>
        <v>Year 2020</v>
      </c>
      <c r="D47" s="915"/>
      <c r="E47" s="925">
        <f t="shared" si="7"/>
        <v>0</v>
      </c>
      <c r="F47" s="925"/>
      <c r="G47" s="940">
        <f t="shared" si="8"/>
        <v>4.0949999999999997E-3</v>
      </c>
      <c r="H47" s="915"/>
      <c r="I47" s="939">
        <f t="shared" si="9"/>
        <v>0</v>
      </c>
      <c r="J47" s="939">
        <f>J46</f>
        <v>0</v>
      </c>
      <c r="K47" s="939"/>
      <c r="L47" s="939">
        <f t="shared" si="6"/>
        <v>0</v>
      </c>
    </row>
    <row r="48" spans="1:12" ht="15.75">
      <c r="A48" s="173"/>
      <c r="B48" s="915" t="s">
        <v>585</v>
      </c>
      <c r="C48" s="915" t="str">
        <f t="shared" si="11"/>
        <v>Year 2020</v>
      </c>
      <c r="D48" s="915"/>
      <c r="E48" s="925">
        <f t="shared" si="7"/>
        <v>0</v>
      </c>
      <c r="F48" s="925"/>
      <c r="G48" s="940">
        <f t="shared" si="8"/>
        <v>4.0949999999999997E-3</v>
      </c>
      <c r="H48" s="915"/>
      <c r="I48" s="939">
        <f t="shared" si="9"/>
        <v>0</v>
      </c>
      <c r="J48" s="939">
        <f t="shared" si="10"/>
        <v>0</v>
      </c>
      <c r="K48" s="939"/>
      <c r="L48" s="939">
        <f t="shared" si="6"/>
        <v>0</v>
      </c>
    </row>
    <row r="49" spans="1:12" ht="15.75">
      <c r="A49" s="173"/>
      <c r="B49" s="915" t="s">
        <v>586</v>
      </c>
      <c r="C49" s="915" t="str">
        <f t="shared" si="11"/>
        <v>Year 2020</v>
      </c>
      <c r="D49" s="915"/>
      <c r="E49" s="925">
        <f t="shared" si="7"/>
        <v>0</v>
      </c>
      <c r="F49" s="925"/>
      <c r="G49" s="940">
        <f t="shared" si="8"/>
        <v>4.0949999999999997E-3</v>
      </c>
      <c r="H49" s="915"/>
      <c r="I49" s="939">
        <f t="shared" si="9"/>
        <v>0</v>
      </c>
      <c r="J49" s="939">
        <f t="shared" si="10"/>
        <v>0</v>
      </c>
      <c r="K49" s="939"/>
      <c r="L49" s="939">
        <f t="shared" si="6"/>
        <v>0</v>
      </c>
    </row>
    <row r="50" spans="1:12" ht="15.75">
      <c r="A50" s="173"/>
      <c r="B50" s="915" t="s">
        <v>587</v>
      </c>
      <c r="C50" s="915" t="str">
        <f t="shared" si="11"/>
        <v>Year 2020</v>
      </c>
      <c r="D50" s="915"/>
      <c r="E50" s="925">
        <f t="shared" si="7"/>
        <v>0</v>
      </c>
      <c r="F50" s="925"/>
      <c r="G50" s="940">
        <f t="shared" si="8"/>
        <v>4.0949999999999997E-3</v>
      </c>
      <c r="H50" s="915"/>
      <c r="I50" s="941">
        <f t="shared" si="9"/>
        <v>0</v>
      </c>
      <c r="J50" s="939">
        <f t="shared" si="10"/>
        <v>0</v>
      </c>
      <c r="K50" s="939"/>
      <c r="L50" s="939">
        <f t="shared" si="6"/>
        <v>0</v>
      </c>
    </row>
    <row r="51" spans="1:12" ht="15.75">
      <c r="A51" s="173"/>
      <c r="B51" s="915"/>
      <c r="C51" s="915"/>
      <c r="D51" s="915"/>
      <c r="E51" s="925"/>
      <c r="F51" s="925"/>
      <c r="G51" s="940"/>
      <c r="H51" s="915"/>
      <c r="I51" s="939">
        <f>SUM(I39:I50)</f>
        <v>0</v>
      </c>
      <c r="J51" s="939"/>
      <c r="K51" s="939"/>
      <c r="L51" s="939"/>
    </row>
    <row r="52" spans="1:12" ht="15">
      <c r="A52" s="173"/>
      <c r="B52" s="390"/>
      <c r="C52" s="390"/>
      <c r="D52" s="390"/>
      <c r="E52" s="390"/>
      <c r="F52" s="390"/>
      <c r="G52" s="390"/>
      <c r="H52" s="390"/>
      <c r="I52" s="390"/>
      <c r="J52" s="946"/>
      <c r="K52" s="390"/>
      <c r="L52" s="390"/>
    </row>
    <row r="53" spans="1:12" ht="15.75">
      <c r="A53" s="173"/>
      <c r="B53" s="915" t="s">
        <v>591</v>
      </c>
      <c r="C53" s="390"/>
      <c r="D53" s="390"/>
      <c r="E53" s="390"/>
      <c r="F53" s="390"/>
      <c r="G53" s="390"/>
      <c r="H53" s="390"/>
      <c r="I53" s="390"/>
      <c r="J53" s="947">
        <f>(SUM(J39:J50)*-1)</f>
        <v>0</v>
      </c>
      <c r="K53" s="390"/>
      <c r="L53" s="390"/>
    </row>
    <row r="54" spans="1:12" ht="15.75">
      <c r="A54" s="173"/>
      <c r="B54" s="915" t="s">
        <v>592</v>
      </c>
      <c r="C54" s="390"/>
      <c r="D54" s="390"/>
      <c r="E54" s="390"/>
      <c r="F54" s="390"/>
      <c r="G54" s="390"/>
      <c r="H54" s="390"/>
      <c r="I54" s="390"/>
      <c r="J54" s="948">
        <f>+I10</f>
        <v>0</v>
      </c>
      <c r="K54" s="390"/>
      <c r="L54" s="390"/>
    </row>
    <row r="55" spans="1:12" ht="15.75">
      <c r="A55" s="173"/>
      <c r="B55" s="915" t="s">
        <v>593</v>
      </c>
      <c r="C55" s="390"/>
      <c r="D55" s="390"/>
      <c r="E55" s="390"/>
      <c r="F55" s="390"/>
      <c r="G55" s="390"/>
      <c r="H55" s="390"/>
      <c r="I55" s="390"/>
      <c r="J55" s="947">
        <f>(J53+J54)</f>
        <v>0</v>
      </c>
      <c r="K55" s="390"/>
      <c r="L55" s="390"/>
    </row>
    <row r="56" spans="1:12">
      <c r="A56" s="173"/>
      <c r="B56" s="389"/>
      <c r="C56" s="389"/>
      <c r="D56" s="389"/>
      <c r="E56" s="389"/>
      <c r="F56" s="389"/>
      <c r="G56" s="389"/>
      <c r="H56" s="389"/>
      <c r="I56" s="389"/>
      <c r="J56" s="389"/>
      <c r="K56" s="389"/>
      <c r="L56" s="389"/>
    </row>
    <row r="57" spans="1:12" ht="50.25" customHeight="1">
      <c r="A57" s="173"/>
      <c r="B57" s="1601" t="s">
        <v>594</v>
      </c>
      <c r="C57" s="1601"/>
      <c r="D57" s="1601"/>
      <c r="E57" s="1601"/>
      <c r="F57" s="1601"/>
      <c r="G57" s="1601"/>
      <c r="H57" s="1601"/>
      <c r="I57" s="1601"/>
      <c r="J57" s="1601"/>
      <c r="K57" s="1314"/>
      <c r="L57" s="1314"/>
    </row>
  </sheetData>
  <mergeCells count="5">
    <mergeCell ref="B1:L1"/>
    <mergeCell ref="B2:L2"/>
    <mergeCell ref="B3:L3"/>
    <mergeCell ref="E4:H4"/>
    <mergeCell ref="B57:J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wvc2lzbD48VXNlck5hbWU+Q09SUFxzMjczNjg5PC9Vc2VyTmFtZT48RGF0ZVRpbWU+My8yNS8yMDIyIDc6MTM6MjkgUE08L0RhdGVUaW1lPjxMYWJlbFN0cmluZz5BRVAgSW50ZXJuYWw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e9c0b8d7-bdb4-4fd3-b62a-f50327aaefce" origin="userSelected">
  <element uid="50c31824-0780-4910-87d1-eaaffd182d42" value=""/>
</sisl>
</file>

<file path=customXml/itemProps1.xml><?xml version="1.0" encoding="utf-8"?>
<ds:datastoreItem xmlns:ds="http://schemas.openxmlformats.org/officeDocument/2006/customXml" ds:itemID="{D3FB770C-D543-49D5-8256-AAB8B2A0261A}">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EAAAF260-7F02-407D-9EF4-AB2D123DCFD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26</vt:i4>
      </vt:variant>
    </vt:vector>
  </HeadingPairs>
  <TitlesOfParts>
    <vt:vector size="51" baseType="lpstr">
      <vt:lpstr>TCOS</vt:lpstr>
      <vt:lpstr>WS A - Rate Base Support</vt:lpstr>
      <vt:lpstr>WS B ADIT &amp; ITC</vt:lpstr>
      <vt:lpstr>WS B-1 - Actual Stmt. AF</vt:lpstr>
      <vt:lpstr>WS B-2 - Actual Stmt. AG</vt:lpstr>
      <vt:lpstr>WS B-3</vt:lpstr>
      <vt:lpstr>WS B-3-A 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Interest(2)</vt:lpstr>
      <vt:lpstr>NP_h</vt:lpstr>
      <vt:lpstr>NPh</vt:lpstr>
      <vt:lpstr>TCOS!Print_Area</vt:lpstr>
      <vt:lpstr>'Worksheet O'!Print_Area</vt:lpstr>
      <vt:lpstr>'WS B ADIT &amp; ITC'!Print_Area</vt:lpstr>
      <vt:lpstr>'WS B-3-A Remeas Suprt'!Print_Area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2022-05-25T16:33:47Z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8b500daf-db39-4348-8c17-93ef522c52c1</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xmlns:xsi="http://www.w3.org/2001/XMLSchema-instance" xmlns:xsd="http://www.w3.org/2001/XMLSchema" sislVersion="0" policy="e9c0b8d7-bdb4-4fd3-b62a-f50327aaefce" origin="userSelected" xmlns="http://www.boldonj</vt:lpwstr>
  </property>
  <property fmtid="{D5CDD505-2E9C-101B-9397-08002B2CF9AE}" pid="7" name="bjDocumentLabelXML-0">
    <vt:lpwstr>ames.com/2008/01/sie/internal/label"&gt;&lt;element uid="50c31824-0780-4910-87d1-eaaffd182d42" value="" /&gt;&lt;/sisl&gt;</vt:lpwstr>
  </property>
  <property fmtid="{D5CDD505-2E9C-101B-9397-08002B2CF9AE}" pid="8" name="bjClsUserRVM">
    <vt:lpwstr>[]</vt:lpwstr>
  </property>
  <property fmtid="{D5CDD505-2E9C-101B-9397-08002B2CF9AE}" pid="9" name="bjLabelHistoryID">
    <vt:lpwstr>{D3FB770C-D543-49D5-8256-AAB8B2A0261A}</vt:lpwstr>
  </property>
  <property fmtid="{D5CDD505-2E9C-101B-9397-08002B2CF9AE}" pid="10" name="MSIP_Label_69f43042-6bda-44b2-91eb-eca3d3d484f4_SiteId">
    <vt:lpwstr>15f3c881-6b03-4ff6-8559-77bf5177818f</vt:lpwstr>
  </property>
  <property fmtid="{D5CDD505-2E9C-101B-9397-08002B2CF9AE}" pid="11" name="MSIP_Label_69f43042-6bda-44b2-91eb-eca3d3d484f4_Name">
    <vt:lpwstr>AEP Internal</vt:lpwstr>
  </property>
  <property fmtid="{D5CDD505-2E9C-101B-9397-08002B2CF9AE}" pid="12" name="MSIP_Label_69f43042-6bda-44b2-91eb-eca3d3d484f4_Enabled">
    <vt:lpwstr>true</vt:lpwstr>
  </property>
</Properties>
</file>